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SGCB\"/>
    </mc:Choice>
  </mc:AlternateContent>
  <xr:revisionPtr revIDLastSave="0" documentId="13_ncr:1_{3B19AB71-77D2-41BE-A7D2-21A13C2A4EF7}" xr6:coauthVersionLast="45" xr6:coauthVersionMax="45" xr10:uidLastSave="{00000000-0000-0000-0000-000000000000}"/>
  <bookViews>
    <workbookView xWindow="-120" yWindow="-120" windowWidth="20730" windowHeight="11160" activeTab="10" xr2:uid="{00000000-000D-0000-FFFF-FFFF00000000}"/>
  </bookViews>
  <sheets>
    <sheet name="resumen" sheetId="7" r:id="rId1"/>
    <sheet name="1" sheetId="11" r:id="rId2"/>
    <sheet name="2000" sheetId="3" state="hidden" r:id="rId3"/>
    <sheet name="3000" sheetId="4" state="hidden" r:id="rId4"/>
    <sheet name="5000" sheetId="6" state="hidden" r:id="rId5"/>
    <sheet name="2" sheetId="9" r:id="rId6"/>
    <sheet name="3" sheetId="10" r:id="rId7"/>
    <sheet name="4" sheetId="13" r:id="rId8"/>
    <sheet name="5" sheetId="12" r:id="rId9"/>
    <sheet name="PAA 1A VERSION " sheetId="16" r:id="rId10"/>
    <sheet name="PAA 2019 actualizado" sheetId="15" r:id="rId11"/>
    <sheet name="Comprobación" sheetId="14" r:id="rId12"/>
  </sheets>
  <externalReferences>
    <externalReference r:id="rId13"/>
  </externalReferences>
  <definedNames>
    <definedName name="_xlnm._FilterDatabase" localSheetId="9" hidden="1">'PAA 1A VERSION '!$A$8:$F$87</definedName>
    <definedName name="_xlnm.Print_Area" localSheetId="1">'1'!$A$25:$D$37</definedName>
    <definedName name="_xlnm.Print_Area" localSheetId="5">'2'!$A$10:$D$40</definedName>
    <definedName name="_xlnm.Print_Area" localSheetId="6">'3'!$A$37:$F$39</definedName>
    <definedName name="_xlnm.Print_Area" localSheetId="8">'5'!$A$4:$D$19</definedName>
    <definedName name="_xlnm.Print_Area" localSheetId="11">Comprobación!$A$1:$F$30</definedName>
    <definedName name="_xlnm.Print_Area" localSheetId="9">'PAA 1A VERSION '!$A$1:$F$95</definedName>
    <definedName name="_xlnm.Print_Area" localSheetId="10">'PAA 2019 actualizado'!$A$1:$F$116</definedName>
    <definedName name="_xlnm.Print_Area" localSheetId="0">resumen!$A$29:$E$39</definedName>
    <definedName name="_xlnm.Print_Titles" localSheetId="5">'2'!$4:$9</definedName>
    <definedName name="_xlnm.Print_Titles" localSheetId="2">'2000'!$5:$6</definedName>
    <definedName name="_xlnm.Print_Titles" localSheetId="6">'3'!$1:$5</definedName>
    <definedName name="_xlnm.Print_Titles" localSheetId="8">'5'!$1:$2</definedName>
    <definedName name="_xlnm.Print_Titles" localSheetId="9">'PAA 1A VERSION '!$1:$8</definedName>
    <definedName name="_xlnm.Print_Titles" localSheetId="10">'PAA 2019 actualizado'!$1:$8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" i="16" l="1"/>
  <c r="D87" i="16" s="1"/>
  <c r="D107" i="15" l="1"/>
  <c r="E10" i="11"/>
  <c r="E11" i="11"/>
  <c r="E12" i="11"/>
  <c r="E13" i="11"/>
  <c r="E14" i="11"/>
  <c r="E15" i="11"/>
  <c r="E16" i="11"/>
  <c r="E17" i="11"/>
  <c r="J43" i="10" l="1"/>
  <c r="N46" i="10" l="1"/>
  <c r="N47" i="10" s="1"/>
  <c r="K44" i="10"/>
  <c r="L44" i="10"/>
  <c r="J46" i="10"/>
  <c r="K46" i="10" s="1"/>
  <c r="L45" i="10" l="1"/>
  <c r="M44" i="10"/>
  <c r="K43" i="10" s="1"/>
  <c r="L46" i="10"/>
  <c r="L47" i="10" s="1"/>
  <c r="L43" i="10" l="1"/>
  <c r="M43" i="10" s="1"/>
  <c r="G44" i="10"/>
  <c r="H45" i="10"/>
  <c r="G45" i="10" s="1"/>
  <c r="G46" i="10" s="1"/>
  <c r="I46" i="10" s="1"/>
  <c r="I51" i="10"/>
  <c r="G43" i="10"/>
  <c r="H47" i="10"/>
  <c r="H48" i="10" s="1"/>
  <c r="H43" i="10"/>
  <c r="I45" i="10" s="1"/>
  <c r="I43" i="10" l="1"/>
  <c r="H49" i="10"/>
  <c r="G20" i="10"/>
  <c r="H21" i="10"/>
  <c r="G12" i="9" l="1"/>
  <c r="G13" i="9" s="1"/>
  <c r="H13" i="9" s="1"/>
  <c r="F19" i="12"/>
  <c r="G19" i="12"/>
  <c r="H19" i="12" s="1"/>
  <c r="H18" i="12"/>
  <c r="H17" i="12"/>
  <c r="H16" i="12"/>
  <c r="H15" i="12"/>
  <c r="H14" i="12"/>
  <c r="I60" i="10" l="1"/>
  <c r="I61" i="10" s="1"/>
  <c r="G10" i="10" l="1"/>
  <c r="H10" i="10" s="1"/>
  <c r="H11" i="10" l="1"/>
  <c r="H13" i="10" s="1"/>
  <c r="I13" i="10" s="1"/>
  <c r="I10" i="10"/>
  <c r="J18" i="14"/>
  <c r="G22" i="14"/>
  <c r="H20" i="14"/>
  <c r="I20" i="14" s="1"/>
  <c r="J41" i="10"/>
  <c r="J37" i="10"/>
  <c r="K37" i="10" s="1"/>
  <c r="J38" i="10"/>
  <c r="K38" i="10" s="1"/>
  <c r="J39" i="10"/>
  <c r="K39" i="10" s="1"/>
  <c r="I40" i="10" l="1"/>
  <c r="H37" i="10" l="1"/>
  <c r="H38" i="10"/>
  <c r="H41" i="10"/>
  <c r="C46" i="10" l="1"/>
  <c r="C61" i="10"/>
  <c r="G61" i="10" s="1"/>
  <c r="H61" i="10" s="1"/>
  <c r="D66" i="10"/>
  <c r="F29" i="10"/>
  <c r="F28" i="10"/>
  <c r="C67" i="10" l="1"/>
  <c r="C68" i="10" s="1"/>
  <c r="C56" i="10" l="1"/>
  <c r="C57" i="10"/>
  <c r="G52" i="10"/>
  <c r="F11" i="12"/>
  <c r="F6" i="12"/>
  <c r="C62" i="10"/>
  <c r="C43" i="10"/>
  <c r="E8" i="14" l="1"/>
  <c r="C37" i="10"/>
  <c r="H36" i="10" s="1"/>
  <c r="I36" i="10" s="1"/>
  <c r="F17" i="10"/>
  <c r="C7" i="14"/>
  <c r="E7" i="14" s="1"/>
  <c r="C6" i="14"/>
  <c r="C28" i="14"/>
  <c r="C30" i="14" s="1"/>
  <c r="C17" i="14"/>
  <c r="G17" i="14" s="1"/>
  <c r="E12" i="14"/>
  <c r="E5" i="14"/>
  <c r="E4" i="14"/>
  <c r="H16" i="14" l="1"/>
  <c r="H14" i="14" s="1"/>
  <c r="G19" i="14"/>
  <c r="G21" i="14" s="1"/>
  <c r="G23" i="14" s="1"/>
  <c r="C11" i="14"/>
  <c r="C13" i="14" s="1"/>
  <c r="C23" i="14"/>
  <c r="C32" i="11"/>
  <c r="C30" i="11"/>
  <c r="C8" i="13"/>
  <c r="D34" i="7" s="1"/>
  <c r="C13" i="12"/>
  <c r="F7" i="12"/>
  <c r="G10" i="12" s="1"/>
  <c r="H10" i="12" s="1"/>
  <c r="B8" i="7"/>
  <c r="F41" i="6" s="1"/>
  <c r="C18" i="11"/>
  <c r="E18" i="11" s="1"/>
  <c r="F12" i="6"/>
  <c r="C9" i="11"/>
  <c r="C8" i="11"/>
  <c r="E8" i="11" s="1"/>
  <c r="C7" i="11"/>
  <c r="E7" i="11" s="1"/>
  <c r="F36" i="6"/>
  <c r="C31" i="11" l="1"/>
  <c r="E9" i="11"/>
  <c r="H11" i="12"/>
  <c r="H12" i="12"/>
  <c r="C34" i="11"/>
  <c r="C39" i="11"/>
  <c r="C6" i="12"/>
  <c r="C19" i="12" s="1"/>
  <c r="C20" i="11"/>
  <c r="C23" i="11" l="1"/>
  <c r="E20" i="11"/>
  <c r="D25" i="11"/>
  <c r="E25" i="11" s="1"/>
  <c r="F20" i="11"/>
  <c r="F22" i="11" s="1"/>
  <c r="D35" i="7"/>
  <c r="D31" i="7"/>
  <c r="B4" i="7"/>
  <c r="F14" i="6"/>
  <c r="F29" i="6"/>
  <c r="F27" i="6"/>
  <c r="F13" i="6"/>
  <c r="F11" i="6"/>
  <c r="C27" i="6" l="1"/>
  <c r="F15" i="6"/>
  <c r="F40" i="6" s="1"/>
  <c r="F42" i="6" s="1"/>
  <c r="C11" i="6" l="1"/>
  <c r="C49" i="10"/>
  <c r="C48" i="10"/>
  <c r="C47" i="10"/>
  <c r="F31" i="10"/>
  <c r="C31" i="10" s="1"/>
  <c r="F30" i="10"/>
  <c r="C29" i="10" s="1"/>
  <c r="F27" i="10"/>
  <c r="C23" i="10" s="1"/>
  <c r="F20" i="10"/>
  <c r="F18" i="10"/>
  <c r="C18" i="10"/>
  <c r="F16" i="10"/>
  <c r="F15" i="10"/>
  <c r="F13" i="10"/>
  <c r="F12" i="10"/>
  <c r="F11" i="10"/>
  <c r="F9" i="10"/>
  <c r="F8" i="10"/>
  <c r="C8" i="10"/>
  <c r="F7" i="10"/>
  <c r="F6" i="10"/>
  <c r="C6" i="10"/>
  <c r="F33" i="9"/>
  <c r="F40" i="9" s="1"/>
  <c r="C20" i="9"/>
  <c r="C17" i="9"/>
  <c r="C11" i="9"/>
  <c r="C20" i="10" l="1"/>
  <c r="H20" i="10"/>
  <c r="C33" i="9"/>
  <c r="C40" i="9" s="1"/>
  <c r="C11" i="10"/>
  <c r="C63" i="10" s="1"/>
  <c r="D6" i="14" s="1"/>
  <c r="E6" i="14" s="1"/>
  <c r="C66" i="4"/>
  <c r="C41" i="4"/>
  <c r="C58" i="4"/>
  <c r="C47" i="4"/>
  <c r="C43" i="4"/>
  <c r="C37" i="4"/>
  <c r="D3" i="4"/>
  <c r="C3" i="4"/>
  <c r="C41" i="3"/>
  <c r="E19" i="7"/>
  <c r="C49" i="4"/>
  <c r="F16" i="4"/>
  <c r="F20" i="4"/>
  <c r="C20" i="4" s="1"/>
  <c r="F15" i="4"/>
  <c r="F11" i="4"/>
  <c r="D7" i="7"/>
  <c r="E7" i="7" s="1"/>
  <c r="F27" i="4"/>
  <c r="C23" i="4" s="1"/>
  <c r="C17" i="3"/>
  <c r="C14" i="3"/>
  <c r="C8" i="3"/>
  <c r="C54" i="4"/>
  <c r="F31" i="4"/>
  <c r="D11" i="14" l="1"/>
  <c r="D13" i="14" s="1"/>
  <c r="D33" i="7"/>
  <c r="D32" i="7"/>
  <c r="E4" i="7"/>
  <c r="F8" i="4"/>
  <c r="F9" i="4"/>
  <c r="F30" i="4"/>
  <c r="F29" i="4"/>
  <c r="C31" i="4"/>
  <c r="F18" i="4"/>
  <c r="F13" i="4"/>
  <c r="F12" i="4"/>
  <c r="C6" i="4"/>
  <c r="D36" i="7" l="1"/>
  <c r="C29" i="4"/>
  <c r="C11" i="4"/>
  <c r="F7" i="4"/>
  <c r="F6" i="4"/>
  <c r="F30" i="3" l="1"/>
  <c r="C30" i="3" s="1"/>
  <c r="C53" i="4" l="1"/>
  <c r="C48" i="4"/>
  <c r="C18" i="4"/>
  <c r="C8" i="4"/>
  <c r="C60" i="4" s="1"/>
  <c r="C37" i="3" l="1"/>
  <c r="B5" i="7" l="1"/>
  <c r="B6" i="7" l="1"/>
  <c r="B10" i="7" s="1"/>
  <c r="B12" i="7" s="1"/>
  <c r="B14" i="7" s="1"/>
  <c r="C62" i="4" l="1"/>
</calcChain>
</file>

<file path=xl/sharedStrings.xml><?xml version="1.0" encoding="utf-8"?>
<sst xmlns="http://schemas.openxmlformats.org/spreadsheetml/2006/main" count="1397" uniqueCount="379">
  <si>
    <t>1.1.1</t>
  </si>
  <si>
    <t>1.1.3.1</t>
  </si>
  <si>
    <t>1.1.3.2</t>
  </si>
  <si>
    <t>1.2.1</t>
  </si>
  <si>
    <t>1.3.2.1</t>
  </si>
  <si>
    <t>1.3.2.2</t>
  </si>
  <si>
    <t>1.3.4</t>
  </si>
  <si>
    <t>1.4.1</t>
  </si>
  <si>
    <t>1.4.3</t>
  </si>
  <si>
    <t>1.5.4</t>
  </si>
  <si>
    <t>1.7.1</t>
  </si>
  <si>
    <t>2.1.1</t>
  </si>
  <si>
    <t>2.1.4</t>
  </si>
  <si>
    <t>2.1.5</t>
  </si>
  <si>
    <t>2.1.6</t>
  </si>
  <si>
    <t>2.2.1</t>
  </si>
  <si>
    <t>2.2.3</t>
  </si>
  <si>
    <t>2.4.6</t>
  </si>
  <si>
    <t>2.4.7</t>
  </si>
  <si>
    <t>2.4.8</t>
  </si>
  <si>
    <t>2.4.9</t>
  </si>
  <si>
    <t>2.7.1</t>
  </si>
  <si>
    <t>2.9.1</t>
  </si>
  <si>
    <t>2.9.4</t>
  </si>
  <si>
    <t>3.1.1</t>
  </si>
  <si>
    <t>3.1.3</t>
  </si>
  <si>
    <t>3.1.6</t>
  </si>
  <si>
    <t>3.1.8</t>
  </si>
  <si>
    <t>3.2.9</t>
  </si>
  <si>
    <t>3.3.1</t>
  </si>
  <si>
    <t>3.3.3</t>
  </si>
  <si>
    <t>3.3.4</t>
  </si>
  <si>
    <t>3.3.5</t>
  </si>
  <si>
    <t>3.3.8</t>
  </si>
  <si>
    <t>3.4.1</t>
  </si>
  <si>
    <t>3.4.5</t>
  </si>
  <si>
    <t>3.5.1</t>
  </si>
  <si>
    <t>3.5.2</t>
  </si>
  <si>
    <t>3.5.3</t>
  </si>
  <si>
    <t>3.5.5</t>
  </si>
  <si>
    <t>3.5.8</t>
  </si>
  <si>
    <t>3.6.1</t>
  </si>
  <si>
    <t>3.6.3</t>
  </si>
  <si>
    <t>3.6.9</t>
  </si>
  <si>
    <t>3.7.2.1</t>
  </si>
  <si>
    <t>3.7.5</t>
  </si>
  <si>
    <t>3.8.1</t>
  </si>
  <si>
    <t>3.8.2</t>
  </si>
  <si>
    <t>3.9.8</t>
  </si>
  <si>
    <t>TIPO DE CONTRATO</t>
  </si>
  <si>
    <t>X</t>
  </si>
  <si>
    <t>TOTAL CAP. 2000</t>
  </si>
  <si>
    <t>GASTOS FIJOS SIN CONTRATO</t>
  </si>
  <si>
    <t>SS GENERALES NO CONSIDERA LA PARTIDA</t>
  </si>
  <si>
    <t>SS GENERALES NO INTERVIENE</t>
  </si>
  <si>
    <t>Papeleria y utiles de oficina</t>
  </si>
  <si>
    <t>Importe</t>
  </si>
  <si>
    <t>enero</t>
  </si>
  <si>
    <t>febrero</t>
  </si>
  <si>
    <t>abril</t>
  </si>
  <si>
    <t>mayo</t>
  </si>
  <si>
    <t>junio</t>
  </si>
  <si>
    <t>julio</t>
  </si>
  <si>
    <t>agosto</t>
  </si>
  <si>
    <t>Invitación a tres proveedores</t>
  </si>
  <si>
    <t>Cotización</t>
  </si>
  <si>
    <t>Tóners, cartuchos orignales</t>
  </si>
  <si>
    <t>Materiales, útiles y equipos menores de oficina</t>
  </si>
  <si>
    <t>Materiales, útiles y equipos menores de tecnologías de la información y comunicaciones</t>
  </si>
  <si>
    <t>Medios magneticos, apuntadores y material de protección.</t>
  </si>
  <si>
    <t>Material impreso e información digital</t>
  </si>
  <si>
    <t>Impresiones de hojas membretadas, tarjetas, etc.</t>
  </si>
  <si>
    <t>Material de limpieza</t>
  </si>
  <si>
    <t>Adjudicación directa</t>
  </si>
  <si>
    <t>Productos alimenticios para personas</t>
  </si>
  <si>
    <t>Café</t>
  </si>
  <si>
    <t>Azucar, Splenda, Cacahuates, galletas</t>
  </si>
  <si>
    <t>Utensilios para el servicio de alimentación</t>
  </si>
  <si>
    <t>2.4.3</t>
  </si>
  <si>
    <t>Cal, yeso y productos de yeso</t>
  </si>
  <si>
    <t>Tablaroca, plafones,  cal (en caso modificaciones)</t>
  </si>
  <si>
    <t>2.4.4.</t>
  </si>
  <si>
    <t>Madera y productos de madera</t>
  </si>
  <si>
    <t>2.4.5</t>
  </si>
  <si>
    <t>Vidrio y productos de vidrio</t>
  </si>
  <si>
    <t>Adquisición de vidrios para ventanas</t>
  </si>
  <si>
    <t xml:space="preserve">Adquisición de madera para pleno </t>
  </si>
  <si>
    <t>Materíal eléctrico y electrónico</t>
  </si>
  <si>
    <t>Adquisición de cables, interruptores, tubos, focos, aislantes</t>
  </si>
  <si>
    <t>Artículos metálicos para la construcción</t>
  </si>
  <si>
    <t>Ventanas, puertas metalicas, clavos, tornillos, mallas ciclónicas, cercas metálicas</t>
  </si>
  <si>
    <t xml:space="preserve">Tapices, pisos, persianas </t>
  </si>
  <si>
    <t>Otros materiales y artículos de construcción en reparación</t>
  </si>
  <si>
    <t>2.5.3</t>
  </si>
  <si>
    <t>Medicinas y productos farmacéuticos</t>
  </si>
  <si>
    <t>Cuadro básicos para atención al personal y diputados del  Congreso</t>
  </si>
  <si>
    <t>2.5.4</t>
  </si>
  <si>
    <t>Materiales, accesorios y suministros médicos</t>
  </si>
  <si>
    <t>Jeringas, gasas, agujas, vendajes, material de satura, espatula, lancentas</t>
  </si>
  <si>
    <t>Materiales complementarios</t>
  </si>
  <si>
    <t>2.6.1</t>
  </si>
  <si>
    <t>Combustibles, lubricantes y aditivos</t>
  </si>
  <si>
    <t>Vales de gasolina</t>
  </si>
  <si>
    <t>Aceite</t>
  </si>
  <si>
    <t>Vestuario y uniformes</t>
  </si>
  <si>
    <t>Empastados de acuerdos</t>
  </si>
  <si>
    <t>Herramientas menores</t>
  </si>
  <si>
    <t>Desarmadores, martillos, tuercas, sierras, tijeras, taladros</t>
  </si>
  <si>
    <t>2.9.2</t>
  </si>
  <si>
    <t>Refacciones y accesorios menores de edificios</t>
  </si>
  <si>
    <t>Candados, cerraduras, pasadores, llaves, chapas, herrajes y bisagras</t>
  </si>
  <si>
    <t>Refacciones y accesorios menores de equipo de computo y tecnologías de la información</t>
  </si>
  <si>
    <t>tarjetas electronicas, unidades de disco internos, circuitos, bocinas, pantallas, teclados, router WIFI</t>
  </si>
  <si>
    <t>2.9.9</t>
  </si>
  <si>
    <t>Refacciones y accesorios menores de otros bienes muebles</t>
  </si>
  <si>
    <t xml:space="preserve">Presupuesto 2019 </t>
  </si>
  <si>
    <t>Partida</t>
  </si>
  <si>
    <t>Concepto</t>
  </si>
  <si>
    <t>Tipo de adjudicación</t>
  </si>
  <si>
    <t>Congreso del Estado de Puebla</t>
  </si>
  <si>
    <t>Programa Anual de Adquisiciones</t>
  </si>
  <si>
    <t>Capitulo 2000</t>
  </si>
  <si>
    <t>Adquisición de libros, leyes</t>
  </si>
  <si>
    <t>sep</t>
  </si>
  <si>
    <t>oct</t>
  </si>
  <si>
    <t>Detergentes, jabones, artículos de aseo para cafeteria</t>
  </si>
  <si>
    <t xml:space="preserve">Cafeteras (4) para cafetería </t>
  </si>
  <si>
    <t>Cuando se requiera</t>
  </si>
  <si>
    <t>Jueves 17</t>
  </si>
  <si>
    <t>Jueves, 15</t>
  </si>
  <si>
    <t>Jueves, 14</t>
  </si>
  <si>
    <t>Energía Eléctrica</t>
  </si>
  <si>
    <t>Agua</t>
  </si>
  <si>
    <t>Servicios de Telecomunicaciones y satélites</t>
  </si>
  <si>
    <t>Servicios Postales y telegráficos</t>
  </si>
  <si>
    <t>Servicios Legales, de Contabilidad, auditoría y relacionados</t>
  </si>
  <si>
    <t>Servicios de Consultoría, Administrativa, Procesos, Técnica y en Tecnologías de la Información</t>
  </si>
  <si>
    <t>Servicios de capacitación</t>
  </si>
  <si>
    <t>Servicios de Vigilancia</t>
  </si>
  <si>
    <t>Servicios Financieros y bancarios</t>
  </si>
  <si>
    <t>Seguros de bienes patrimoniales</t>
  </si>
  <si>
    <t>Conservación y mantenimiento menor de inmuebles</t>
  </si>
  <si>
    <t>Instalación, reparación y mantenimiento, reparación y mantenimiento de mobiliario y equipo de admón, educación y rereativo</t>
  </si>
  <si>
    <t>Instalación, Reparación y mantenimiento de Equipo Cómputo y tecnologías de la Información</t>
  </si>
  <si>
    <t>Reparación y mantenimiento de Equipo de Transporte</t>
  </si>
  <si>
    <t>Servicios de limpieza y manejo de desechos</t>
  </si>
  <si>
    <t>Difusión por radio, Televisión y otros medios de mensajes sobre programación  y actividades gubernamentales</t>
  </si>
  <si>
    <t>Servicios de creatividad,  preproducción y producción de publicidad, excepto internet</t>
  </si>
  <si>
    <t>Otros servicios de información</t>
  </si>
  <si>
    <t>Pasajes terrestres nacionales</t>
  </si>
  <si>
    <t>Viáticos en el país</t>
  </si>
  <si>
    <t>Gastos de ceremonial</t>
  </si>
  <si>
    <t>Gastos de orden social y cultural</t>
  </si>
  <si>
    <t>Impuestos sobre nóminas y otros que se deriven de una relación laboral</t>
  </si>
  <si>
    <t>Descripción del contrato</t>
  </si>
  <si>
    <t>Cerrado</t>
  </si>
  <si>
    <t>Abierto</t>
  </si>
  <si>
    <t>Multianual</t>
  </si>
  <si>
    <t>Marzo</t>
  </si>
  <si>
    <t>septiembre</t>
  </si>
  <si>
    <t>octubre</t>
  </si>
  <si>
    <t>Noviembre</t>
  </si>
  <si>
    <t xml:space="preserve">Servicio de agua potable de los dos bienes inmuebles </t>
  </si>
  <si>
    <t>Licitación Pública Nacional</t>
  </si>
  <si>
    <t>3.1.7</t>
  </si>
  <si>
    <t>Servicios de acceso de internet, redes y procesamiento de información</t>
  </si>
  <si>
    <t>Suministro de energía electrica. 5 poniente, col. Centro</t>
  </si>
  <si>
    <t>Suministro de energía electrica. 8 poniente, col. Centro</t>
  </si>
  <si>
    <t>Hospedaje de @congresodepuebla.mx</t>
  </si>
  <si>
    <t>Único proveedor: CFE</t>
  </si>
  <si>
    <t>Único proveedor: Banco INVEX Fideicomiso 2111EO</t>
  </si>
  <si>
    <t>Servicios TI: Internet dedicado y troncales</t>
  </si>
  <si>
    <t>Licencias de sofware  office 365</t>
  </si>
  <si>
    <t>Hospedaje de @congresopuebla.mx</t>
  </si>
  <si>
    <t>Hospedaje de @congresopuebla.gob.mx</t>
  </si>
  <si>
    <t>Plataforma USTREAM y WEBMASTER</t>
  </si>
  <si>
    <t>Hospedaje de la página web del congreso</t>
  </si>
  <si>
    <t>Único proveedor: Correos de méxico</t>
  </si>
  <si>
    <t>Servicio de envío de correspondencia</t>
  </si>
  <si>
    <t>Servicio de envío de correspondencia express en zonas urbanas</t>
  </si>
  <si>
    <t>3.2.5</t>
  </si>
  <si>
    <t>Arrendamiento de equipo de transporte</t>
  </si>
  <si>
    <t>Servicio de renta de vehiculo para más de 5 personas, asuntos oficiales</t>
  </si>
  <si>
    <t>Cuando se requiera, por los días que se necesiten, se elaborara contrato.</t>
  </si>
  <si>
    <t>3.2.3</t>
  </si>
  <si>
    <t>Arrendamiento de mobiliario y equipo de administración, educacional y recreativo</t>
  </si>
  <si>
    <t>Renta de equipo de multifuncionales (impresión, fotocopiado, escaner)</t>
  </si>
  <si>
    <t>Renta de equipo de fotocopiado</t>
  </si>
  <si>
    <t>3.2.7</t>
  </si>
  <si>
    <t>Arrendamiento de activos intangibles</t>
  </si>
  <si>
    <t>Sistema de Contabilidad</t>
  </si>
  <si>
    <t>Estacionamiento Reforma</t>
  </si>
  <si>
    <t>Estacionamiento Centro de Convecciones</t>
  </si>
  <si>
    <t>Otros arrendamientos</t>
  </si>
  <si>
    <t>Servicio de Auditoria de Calidad ISO9002015</t>
  </si>
  <si>
    <t>Servicios de Auditoria a Estados Financieros</t>
  </si>
  <si>
    <t>Contrato personal a cada uno</t>
  </si>
  <si>
    <t>Antes asimilables a salarios</t>
  </si>
  <si>
    <t>Contrato personal cada semestre</t>
  </si>
  <si>
    <t>Folios fiscales para timbrar asimilables</t>
  </si>
  <si>
    <t>Pipas de agua</t>
  </si>
  <si>
    <t xml:space="preserve">Servicios de Auditoria de Norma 025 </t>
  </si>
  <si>
    <t>3.8.5</t>
  </si>
  <si>
    <t>Gastos de representación (Apoyos Legislativos)</t>
  </si>
  <si>
    <t>Resumen</t>
  </si>
  <si>
    <t>3.3.6</t>
  </si>
  <si>
    <t>Servicios de apoyo administrativo, fotocopiado e impresión</t>
  </si>
  <si>
    <t>Servicio de encuardenado artesanal</t>
  </si>
  <si>
    <t>Jueves, 17</t>
  </si>
  <si>
    <t>Vajilla y cubiertas</t>
  </si>
  <si>
    <t>Invitación a tres</t>
  </si>
  <si>
    <t xml:space="preserve">Microsip (Sitema de bancos, inventarios, </t>
  </si>
  <si>
    <t>Servicio de revisión de PBR</t>
  </si>
  <si>
    <t>Servicio de revisión de manuales de procedimientos</t>
  </si>
  <si>
    <t>Antivirus</t>
  </si>
  <si>
    <t>Refrescos, aguas</t>
  </si>
  <si>
    <t>Horno de microondas (2) para comedor del personal</t>
  </si>
  <si>
    <t>Desechables biodegradable</t>
  </si>
  <si>
    <t>Pinturas, lijas, recubrimientos, adhesivos, selladores.</t>
  </si>
  <si>
    <t>Declaranet plus - contraloria-</t>
  </si>
  <si>
    <t>Photoshop, Ilustrator, Acrobat, Dreamweaver, Adobe spark, premiere pro, animate</t>
  </si>
  <si>
    <t>Uniformes para el personal de mantenimiento (cinturo, guantes, cascos)</t>
  </si>
  <si>
    <t>Recargas de extintores</t>
  </si>
  <si>
    <t>Servicio de internet para sala de prensa</t>
  </si>
  <si>
    <t>3.3.2</t>
  </si>
  <si>
    <t>Servicios de diseño, arquitectura, ingenieria y actividades relacionadas</t>
  </si>
  <si>
    <t>Servicios de investigación cientifica y desarrollo</t>
  </si>
  <si>
    <t>computadores</t>
  </si>
  <si>
    <t>table</t>
  </si>
  <si>
    <t xml:space="preserve">liitación </t>
  </si>
  <si>
    <t>precio de licitación</t>
  </si>
  <si>
    <t>1 computadora</t>
  </si>
  <si>
    <t>lap top</t>
  </si>
  <si>
    <t>lap tpos</t>
  </si>
  <si>
    <t>tabletas</t>
  </si>
  <si>
    <t>garantia de 3 años</t>
  </si>
  <si>
    <t>Secretarios técnicos (10)(35,000)(12)</t>
  </si>
  <si>
    <t>Auxiliares (10) (15000)(12)</t>
  </si>
  <si>
    <t>Estudio diagnostico para mantenimiento del edificio</t>
  </si>
  <si>
    <t>Según se requiera</t>
  </si>
  <si>
    <t>comisiones bancarias</t>
  </si>
  <si>
    <t>No se adjudica</t>
  </si>
  <si>
    <t>Seguro de automoviles</t>
  </si>
  <si>
    <t>Reparación de muebles de oficina</t>
  </si>
  <si>
    <t>Conforme se requiera</t>
  </si>
  <si>
    <t>Servicio de reparación de equipos</t>
  </si>
  <si>
    <t>Mantenimiento de Equipo de transporte</t>
  </si>
  <si>
    <t>Servicio de limpieza</t>
  </si>
  <si>
    <t>Diversos medios de comunicación</t>
  </si>
  <si>
    <t>Eventos oficiales (Toma de protesta del gobernador, informes de gobierno, etc)</t>
  </si>
  <si>
    <t>5.1.5</t>
  </si>
  <si>
    <t>Equipo de computo y tecnología de la información</t>
  </si>
  <si>
    <t>41 lap tops para diputados</t>
  </si>
  <si>
    <t>41 tablets para diputados</t>
  </si>
  <si>
    <t>4 servidores (2 para contraloría; 2 para TI)</t>
  </si>
  <si>
    <t>1 Aple iMac (comunicación)</t>
  </si>
  <si>
    <t>I Mac (comunicación)</t>
  </si>
  <si>
    <t>Ipad Pro de 10.5 (comunicación)</t>
  </si>
  <si>
    <t>Mezclador de video</t>
  </si>
  <si>
    <t>5.2.1</t>
  </si>
  <si>
    <t>Equipos y aparatos audiovisuales</t>
  </si>
  <si>
    <t>Microfonos (3)</t>
  </si>
  <si>
    <t>Proyectores (3)</t>
  </si>
  <si>
    <t>Pantallas (5)</t>
  </si>
  <si>
    <t>10 computadoras de escritorio</t>
  </si>
  <si>
    <t>5.2.3</t>
  </si>
  <si>
    <t>Camaras fotograficas y de video</t>
  </si>
  <si>
    <t>Licitación Publica Nacional</t>
  </si>
  <si>
    <t>Cámara de video (1)</t>
  </si>
  <si>
    <t>Camara fotografica y lente (comunicación)</t>
  </si>
  <si>
    <t>Dietas</t>
  </si>
  <si>
    <t>5.6.4</t>
  </si>
  <si>
    <t>Sistemas de aire acondionado, calefacción y de refrigeración industrial y comercial</t>
  </si>
  <si>
    <t>Sueldos base al personal de base</t>
  </si>
  <si>
    <t>1.1.3</t>
  </si>
  <si>
    <t>Sueldos base al personal de confianza</t>
  </si>
  <si>
    <t>Honorarios asimilables a salarios</t>
  </si>
  <si>
    <t>40 lap tops para adminstrativos</t>
  </si>
  <si>
    <t>Primas de vacaciones y dominicales</t>
  </si>
  <si>
    <t>Aires acodicionados (5)</t>
  </si>
  <si>
    <t>5.1.1</t>
  </si>
  <si>
    <t>Muebles de oficina y estanteria</t>
  </si>
  <si>
    <t>Archiveros</t>
  </si>
  <si>
    <t>Gratificación de fin de año</t>
  </si>
  <si>
    <t>Compensaciones</t>
  </si>
  <si>
    <t>Aportaciones de seguridad social</t>
  </si>
  <si>
    <t>Aportaciones al sistema para el retiro</t>
  </si>
  <si>
    <t>Prestaciones contractuales</t>
  </si>
  <si>
    <t>Estimulos</t>
  </si>
  <si>
    <t>1.61.1</t>
  </si>
  <si>
    <t>5.1.9</t>
  </si>
  <si>
    <t>Otros mobiliarios y equipos de administación</t>
  </si>
  <si>
    <t>1 circuito cerrado de televisión</t>
  </si>
  <si>
    <t>Equipo de detección de fuego, alarma y boceo</t>
  </si>
  <si>
    <t>1 enceradora de pisos</t>
  </si>
  <si>
    <t>3 aspiradora de pisos</t>
  </si>
  <si>
    <t>Presupuesto para el ejercicio 2019 por partida</t>
  </si>
  <si>
    <t>Capitulo 3000</t>
  </si>
  <si>
    <t>Nombre de la partida</t>
  </si>
  <si>
    <t>Conceptos</t>
  </si>
  <si>
    <t>Tóners, cartuchos originales</t>
  </si>
  <si>
    <t>Capitulo 1000</t>
  </si>
  <si>
    <t>Capitulo 5000</t>
  </si>
  <si>
    <t>Capitulo 4000</t>
  </si>
  <si>
    <t>4.3.1</t>
  </si>
  <si>
    <t xml:space="preserve">Subvenciones </t>
  </si>
  <si>
    <t>Impresoras (contabilida y Recursos Humanos)</t>
  </si>
  <si>
    <t>Scaners (Servicios Generales, Contabilida y Recursos Humanos)</t>
  </si>
  <si>
    <t>CAPITULO</t>
  </si>
  <si>
    <t>IMPORTE</t>
  </si>
  <si>
    <t>Prevención de caracter laboral (plazas contraloria)</t>
  </si>
  <si>
    <t>Dietas (41 diputados)</t>
  </si>
  <si>
    <t>Sueldos de personal confianza, base y honorarios</t>
  </si>
  <si>
    <t>Medios magneticos, apuntadores y material de protección (mouse, candados, usb)</t>
  </si>
  <si>
    <t>Productos alimenticios para personas (diputados)</t>
  </si>
  <si>
    <t>utencilios (tazas cafeteras, platos y cucharas)</t>
  </si>
  <si>
    <t>Adquisición de madera para mantenimiento</t>
  </si>
  <si>
    <t>1.61.</t>
  </si>
  <si>
    <t xml:space="preserve">Pisos, persianas </t>
  </si>
  <si>
    <t>Cuadro básico para atención al personal y diputados del  Congreso</t>
  </si>
  <si>
    <t>Uniformes para el personal de mantenimiento (lineas de vida, guantes, cascos y botas)</t>
  </si>
  <si>
    <t>Desarmadores, martillos, tuercas, sierras, tijeras, taladros, etc.</t>
  </si>
  <si>
    <t>tarjetas electrónicas, unidades de disco internos, circuitos, bocinas, pantallas, teclados, router WIFI</t>
  </si>
  <si>
    <t>Recargas de extintores (60 extintores)</t>
  </si>
  <si>
    <t>Para personal administrativo</t>
  </si>
  <si>
    <t>Seguridad y vigilancia</t>
  </si>
  <si>
    <t>Comunicación social</t>
  </si>
  <si>
    <t>Ceremonias patroticas, ceremonias, adquisición de ofrendas</t>
  </si>
  <si>
    <t>TOTAL CAP. 5000</t>
  </si>
  <si>
    <t>Mantenimiento de los dos edificio (incremento de 12 millones de los 34)</t>
  </si>
  <si>
    <t>TOTAL CAP. 3000</t>
  </si>
  <si>
    <t>3.6.4</t>
  </si>
  <si>
    <t>3.6.5</t>
  </si>
  <si>
    <t>3.6.6</t>
  </si>
  <si>
    <t>Servicio de revelado de fotografias</t>
  </si>
  <si>
    <t>Servicios de la industria filmica, del sonido, y del video</t>
  </si>
  <si>
    <t>Servicios de creación y difusión de contenido a través de internet</t>
  </si>
  <si>
    <t>Capitulo</t>
  </si>
  <si>
    <t>Servicios personales</t>
  </si>
  <si>
    <t>Materiales y suministros</t>
  </si>
  <si>
    <t>Servicios generales</t>
  </si>
  <si>
    <t>Transferencias, asignaciones, subsidios</t>
  </si>
  <si>
    <t>Bienes muebles e inmuebles</t>
  </si>
  <si>
    <t>Anteproyecto</t>
  </si>
  <si>
    <t>Presupuesto aprobado 31-12-18</t>
  </si>
  <si>
    <t>Diferencia</t>
  </si>
  <si>
    <t>Incremento</t>
  </si>
  <si>
    <t xml:space="preserve">Apoyos legislativos </t>
  </si>
  <si>
    <t>(41 diputados)($8,130 mensuales)(12 meses)</t>
  </si>
  <si>
    <t>Apoyo legislativo que no se consideró</t>
  </si>
  <si>
    <t>(41 diputados)($18,000 mensuales)(12 meses)</t>
  </si>
  <si>
    <t>Asesores (20 mil netos)</t>
  </si>
  <si>
    <t>Autorizado por Jefe</t>
  </si>
  <si>
    <t>Asistente de secretarios(15 mil netos)</t>
  </si>
  <si>
    <t>(10 asistentes)($16,415.16 mensual)(12meses)</t>
  </si>
  <si>
    <t>(41 diputados)($21,886.88 mensuales)(12 meses)</t>
  </si>
  <si>
    <t>Diferencia de asimilables</t>
  </si>
  <si>
    <t>Asimilables en la partida 1000</t>
  </si>
  <si>
    <t>Asimilables en la partida 3000</t>
  </si>
  <si>
    <t>Total de asimilables</t>
  </si>
  <si>
    <t>En el anteproyecto</t>
  </si>
  <si>
    <t>Incremento en el capitulo 3000</t>
  </si>
  <si>
    <t xml:space="preserve">Desechables </t>
  </si>
  <si>
    <t>3.7.2</t>
  </si>
  <si>
    <t>Antes asimilables a salarios (106 personas)(11 meses)</t>
  </si>
  <si>
    <t>(Total asimilables $19,200,684.88 menos $12,000,000)</t>
  </si>
  <si>
    <t>Proyectores (1)</t>
  </si>
  <si>
    <t>Microfonos (2)</t>
  </si>
  <si>
    <t>Secretarios técnicos (10)(35,000)</t>
  </si>
  <si>
    <t>Auxiliares (10) (15000)</t>
  </si>
  <si>
    <t>Servicios Personales</t>
  </si>
  <si>
    <t>Materiales y Suministros</t>
  </si>
  <si>
    <t>Servicios Generales</t>
  </si>
  <si>
    <t>Transferencias, Asignaciones, Subsidios</t>
  </si>
  <si>
    <t>Consecutivo</t>
  </si>
  <si>
    <t xml:space="preserve">HONORABLE CONGRESO DEL ESTADO DE PUEBLA </t>
  </si>
  <si>
    <t xml:space="preserve">DIRECCIÓN GENERAL DE ADMINISTRACIÓN Y FINANZAS </t>
  </si>
  <si>
    <t xml:space="preserve">JEFATURA DE SERVICIOS GENERALES Y CONTROL DE BIENES </t>
  </si>
  <si>
    <t>PROGRAMA ANUAL DE ADQUISICIONES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</si>
</sst>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6">
    <xf numFmtId="0" fontId="0" fillId="0" borderId="0" xfId="0"/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1" applyFont="1" applyBorder="1"/>
    <xf numFmtId="0" fontId="2" fillId="0" borderId="0" xfId="0" applyFon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4" fontId="3" fillId="0" borderId="3" xfId="0" applyNumberFormat="1" applyFont="1" applyBorder="1" applyAlignment="1">
      <alignment vertical="top"/>
    </xf>
    <xf numFmtId="4" fontId="3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left" vertical="top"/>
    </xf>
    <xf numFmtId="4" fontId="3" fillId="0" borderId="4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4" fontId="3" fillId="0" borderId="4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0" xfId="0" applyFont="1" applyBorder="1"/>
    <xf numFmtId="0" fontId="6" fillId="0" borderId="0" xfId="0" applyFont="1" applyBorder="1" applyAlignment="1">
      <alignment horizontal="center" wrapText="1"/>
    </xf>
    <xf numFmtId="4" fontId="6" fillId="0" borderId="6" xfId="0" applyNumberFormat="1" applyFont="1" applyBorder="1"/>
    <xf numFmtId="4" fontId="6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4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Fill="1"/>
    <xf numFmtId="0" fontId="7" fillId="4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4" fontId="3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1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3" fontId="3" fillId="0" borderId="0" xfId="0" applyNumberFormat="1" applyFont="1"/>
    <xf numFmtId="43" fontId="3" fillId="0" borderId="0" xfId="1" applyFont="1"/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horizontal="left" vertical="center"/>
    </xf>
    <xf numFmtId="43" fontId="3" fillId="0" borderId="1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/>
    <xf numFmtId="9" fontId="0" fillId="0" borderId="0" xfId="0" applyNumberForma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/>
    </xf>
    <xf numFmtId="4" fontId="3" fillId="0" borderId="4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3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4" fillId="0" borderId="0" xfId="1" applyFont="1" applyBorder="1" applyAlignment="1">
      <alignment wrapText="1"/>
    </xf>
    <xf numFmtId="43" fontId="3" fillId="0" borderId="0" xfId="1" applyFont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43" fontId="3" fillId="0" borderId="4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top"/>
    </xf>
    <xf numFmtId="4" fontId="3" fillId="0" borderId="2" xfId="0" applyNumberFormat="1" applyFont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3" fillId="0" borderId="0" xfId="0" applyNumberFormat="1" applyFont="1"/>
    <xf numFmtId="43" fontId="3" fillId="0" borderId="1" xfId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43" fontId="0" fillId="0" borderId="1" xfId="1" applyFont="1" applyFill="1" applyBorder="1"/>
    <xf numFmtId="43" fontId="0" fillId="0" borderId="1" xfId="0" applyNumberFormat="1" applyBorder="1"/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 wrapText="1"/>
    </xf>
    <xf numFmtId="0" fontId="0" fillId="0" borderId="0" xfId="0" applyFont="1"/>
    <xf numFmtId="43" fontId="0" fillId="0" borderId="0" xfId="0" applyNumberFormat="1" applyFont="1"/>
    <xf numFmtId="43" fontId="3" fillId="0" borderId="1" xfId="1" applyFont="1" applyBorder="1"/>
    <xf numFmtId="43" fontId="6" fillId="0" borderId="0" xfId="0" applyNumberFormat="1" applyFont="1"/>
    <xf numFmtId="0" fontId="6" fillId="0" borderId="0" xfId="0" applyFont="1" applyAlignment="1">
      <alignment vertical="center" wrapText="1"/>
    </xf>
    <xf numFmtId="43" fontId="3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43" fontId="3" fillId="0" borderId="1" xfId="1" applyFont="1" applyFill="1" applyBorder="1"/>
    <xf numFmtId="43" fontId="14" fillId="0" borderId="1" xfId="1" applyFont="1" applyFill="1" applyBorder="1" applyAlignment="1">
      <alignment horizontal="center" vertical="top" wrapText="1"/>
    </xf>
    <xf numFmtId="43" fontId="15" fillId="0" borderId="0" xfId="0" applyNumberFormat="1" applyFo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textRotation="90" wrapText="1"/>
    </xf>
    <xf numFmtId="43" fontId="6" fillId="0" borderId="1" xfId="1" applyFont="1" applyBorder="1" applyAlignment="1">
      <alignment horizontal="center"/>
    </xf>
    <xf numFmtId="43" fontId="3" fillId="0" borderId="1" xfId="0" applyNumberFormat="1" applyFont="1" applyBorder="1" applyAlignment="1">
      <alignment vertical="center"/>
    </xf>
    <xf numFmtId="44" fontId="6" fillId="0" borderId="0" xfId="2" applyFont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left" vertical="center"/>
    </xf>
    <xf numFmtId="43" fontId="3" fillId="0" borderId="1" xfId="1" applyFont="1" applyFill="1" applyBorder="1" applyAlignment="1">
      <alignment horizontal="left" vertical="center" wrapText="1"/>
    </xf>
    <xf numFmtId="43" fontId="3" fillId="0" borderId="0" xfId="1" applyFont="1" applyFill="1"/>
    <xf numFmtId="0" fontId="3" fillId="0" borderId="1" xfId="1" applyNumberFormat="1" applyFont="1" applyBorder="1" applyAlignment="1">
      <alignment horizontal="left"/>
    </xf>
    <xf numFmtId="0" fontId="3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43" fontId="3" fillId="0" borderId="1" xfId="1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43" fontId="6" fillId="0" borderId="1" xfId="1" applyFont="1" applyBorder="1" applyAlignment="1">
      <alignment horizontal="center" wrapText="1"/>
    </xf>
    <xf numFmtId="0" fontId="6" fillId="0" borderId="1" xfId="0" applyFont="1" applyBorder="1"/>
    <xf numFmtId="0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/>
    </xf>
    <xf numFmtId="43" fontId="3" fillId="2" borderId="1" xfId="1" applyFont="1" applyFill="1" applyBorder="1"/>
    <xf numFmtId="43" fontId="16" fillId="0" borderId="0" xfId="0" applyNumberFormat="1" applyFont="1"/>
    <xf numFmtId="43" fontId="3" fillId="0" borderId="13" xfId="1" applyFont="1" applyBorder="1"/>
    <xf numFmtId="43" fontId="3" fillId="0" borderId="3" xfId="1" applyFont="1" applyBorder="1"/>
    <xf numFmtId="43" fontId="3" fillId="0" borderId="0" xfId="0" applyNumberFormat="1" applyFont="1" applyFill="1"/>
    <xf numFmtId="0" fontId="3" fillId="2" borderId="1" xfId="0" applyFont="1" applyFill="1" applyBorder="1" applyAlignment="1">
      <alignment wrapText="1"/>
    </xf>
    <xf numFmtId="10" fontId="3" fillId="0" borderId="0" xfId="3" applyNumberFormat="1" applyFont="1"/>
    <xf numFmtId="0" fontId="7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9" fontId="0" fillId="0" borderId="0" xfId="1" applyNumberFormat="1" applyFont="1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3" fontId="3" fillId="0" borderId="1" xfId="1" applyFont="1" applyFill="1" applyBorder="1" applyAlignment="1">
      <alignment horizontal="left" vertical="center"/>
    </xf>
    <xf numFmtId="0" fontId="17" fillId="0" borderId="0" xfId="0" applyFont="1"/>
    <xf numFmtId="0" fontId="0" fillId="0" borderId="1" xfId="0" applyBorder="1" applyAlignment="1">
      <alignment horizontal="center" vertical="center"/>
    </xf>
    <xf numFmtId="44" fontId="3" fillId="0" borderId="3" xfId="2" applyFont="1" applyFill="1" applyBorder="1" applyAlignment="1">
      <alignment vertical="top"/>
    </xf>
    <xf numFmtId="44" fontId="3" fillId="0" borderId="4" xfId="2" applyFont="1" applyFill="1" applyBorder="1" applyAlignment="1">
      <alignment vertical="top"/>
    </xf>
    <xf numFmtId="44" fontId="3" fillId="0" borderId="3" xfId="2" applyFont="1" applyFill="1" applyBorder="1" applyAlignment="1">
      <alignment horizontal="right" vertical="top"/>
    </xf>
    <xf numFmtId="44" fontId="3" fillId="0" borderId="4" xfId="2" applyFont="1" applyFill="1" applyBorder="1" applyAlignment="1">
      <alignment horizontal="right" vertical="top" wrapText="1"/>
    </xf>
    <xf numFmtId="44" fontId="3" fillId="0" borderId="1" xfId="2" applyFont="1" applyFill="1" applyBorder="1"/>
    <xf numFmtId="44" fontId="3" fillId="0" borderId="1" xfId="2" applyFont="1" applyFill="1" applyBorder="1" applyAlignment="1">
      <alignment horizontal="right" vertical="center"/>
    </xf>
    <xf numFmtId="44" fontId="3" fillId="0" borderId="1" xfId="2" applyFont="1" applyFill="1" applyBorder="1" applyAlignment="1">
      <alignment vertical="center"/>
    </xf>
    <xf numFmtId="44" fontId="17" fillId="0" borderId="0" xfId="2" applyFont="1"/>
    <xf numFmtId="0" fontId="7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3" fontId="6" fillId="0" borderId="4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textRotation="90" wrapText="1"/>
    </xf>
    <xf numFmtId="0" fontId="7" fillId="4" borderId="2" xfId="0" applyFont="1" applyFill="1" applyBorder="1" applyAlignment="1">
      <alignment horizontal="center" vertical="top" textRotation="90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7" fillId="4" borderId="2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4" borderId="11" xfId="0" applyFont="1" applyFill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4" fontId="3" fillId="0" borderId="5" xfId="2" applyFont="1" applyFill="1" applyBorder="1" applyAlignment="1">
      <alignment horizontal="right" vertical="center"/>
    </xf>
    <xf numFmtId="44" fontId="3" fillId="0" borderId="2" xfId="2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4" fontId="3" fillId="0" borderId="11" xfId="2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4" fontId="3" fillId="0" borderId="5" xfId="2" applyFont="1" applyFill="1" applyBorder="1" applyAlignment="1">
      <alignment horizontal="right" vertical="top" wrapText="1"/>
    </xf>
    <xf numFmtId="44" fontId="3" fillId="0" borderId="11" xfId="2" applyFont="1" applyFill="1" applyBorder="1" applyAlignment="1">
      <alignment horizontal="right" vertical="top" wrapText="1"/>
    </xf>
    <xf numFmtId="44" fontId="3" fillId="0" borderId="2" xfId="2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44" fontId="3" fillId="0" borderId="5" xfId="2" applyFont="1" applyFill="1" applyBorder="1" applyAlignment="1">
      <alignment horizontal="right" vertical="top"/>
    </xf>
    <xf numFmtId="44" fontId="3" fillId="0" borderId="2" xfId="2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3" fillId="0" borderId="5" xfId="2" applyFont="1" applyFill="1" applyBorder="1" applyAlignment="1">
      <alignment horizontal="center" vertical="center"/>
    </xf>
    <xf numFmtId="44" fontId="3" fillId="0" borderId="11" xfId="2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4</xdr:row>
      <xdr:rowOff>42548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B16F4D-9852-4947-9502-8195AB683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3625" cy="804548"/>
        </a:xfrm>
        <a:prstGeom prst="rect">
          <a:avLst/>
        </a:prstGeom>
      </xdr:spPr>
    </xdr:pic>
    <xdr:clientData/>
  </xdr:twoCellAnchor>
  <xdr:twoCellAnchor>
    <xdr:from>
      <xdr:col>2</xdr:col>
      <xdr:colOff>2174876</xdr:colOff>
      <xdr:row>89</xdr:row>
      <xdr:rowOff>142876</xdr:rowOff>
    </xdr:from>
    <xdr:to>
      <xdr:col>4</xdr:col>
      <xdr:colOff>619125</xdr:colOff>
      <xdr:row>95</xdr:row>
      <xdr:rowOff>31750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1FDBE98-E8E3-415E-AE5B-7681EA823BF0}"/>
            </a:ext>
          </a:extLst>
        </xdr:cNvPr>
        <xdr:cNvSpPr txBox="1"/>
      </xdr:nvSpPr>
      <xdr:spPr>
        <a:xfrm>
          <a:off x="3730626" y="23590251"/>
          <a:ext cx="3444874" cy="1031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Elaboró: L.A.E.</a:t>
          </a:r>
          <a:r>
            <a:rPr lang="es-MX" sz="1100" b="1" baseline="0"/>
            <a:t> Froylan Hernández Viveros</a:t>
          </a:r>
          <a:endParaRPr lang="es-MX" sz="1100" b="1"/>
        </a:p>
        <a:p>
          <a:r>
            <a:rPr lang="es-MX" sz="1100" b="1"/>
            <a:t>Puesto: Jefe de Servicios Generales y Control de Bienes </a:t>
          </a:r>
        </a:p>
        <a:p>
          <a:r>
            <a:rPr lang="es-MX" sz="1100" b="1"/>
            <a:t>Fecha:  30 de noviembre de 2018</a:t>
          </a:r>
        </a:p>
      </xdr:txBody>
    </xdr:sp>
    <xdr:clientData/>
  </xdr:twoCellAnchor>
  <xdr:twoCellAnchor>
    <xdr:from>
      <xdr:col>4</xdr:col>
      <xdr:colOff>1174750</xdr:colOff>
      <xdr:row>89</xdr:row>
      <xdr:rowOff>120650</xdr:rowOff>
    </xdr:from>
    <xdr:to>
      <xdr:col>6</xdr:col>
      <xdr:colOff>41275</xdr:colOff>
      <xdr:row>95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06BFCF2-6208-40BB-8C3F-9816589AE283}"/>
            </a:ext>
          </a:extLst>
        </xdr:cNvPr>
        <xdr:cNvSpPr txBox="1"/>
      </xdr:nvSpPr>
      <xdr:spPr>
        <a:xfrm>
          <a:off x="7737475" y="28657550"/>
          <a:ext cx="3467100" cy="1117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Autorizó: Lic. Karina Vázquez Dáz </a:t>
          </a:r>
        </a:p>
        <a:p>
          <a:r>
            <a:rPr lang="es-MX" sz="1100" b="1"/>
            <a:t>Puesto: Directora General de Administración y Finanzas </a:t>
          </a:r>
        </a:p>
        <a:p>
          <a:r>
            <a:rPr lang="es-MX" sz="1100" b="1"/>
            <a:t>Fecha: 03 de diciembre de 2018</a:t>
          </a:r>
        </a:p>
      </xdr:txBody>
    </xdr:sp>
    <xdr:clientData/>
  </xdr:twoCellAnchor>
  <xdr:twoCellAnchor>
    <xdr:from>
      <xdr:col>0</xdr:col>
      <xdr:colOff>0</xdr:colOff>
      <xdr:row>89</xdr:row>
      <xdr:rowOff>142875</xdr:rowOff>
    </xdr:from>
    <xdr:to>
      <xdr:col>2</xdr:col>
      <xdr:colOff>1889124</xdr:colOff>
      <xdr:row>95</xdr:row>
      <xdr:rowOff>31749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6BF69C-3E0E-40D7-A235-D87F11A34819}"/>
            </a:ext>
          </a:extLst>
        </xdr:cNvPr>
        <xdr:cNvSpPr txBox="1"/>
      </xdr:nvSpPr>
      <xdr:spPr>
        <a:xfrm>
          <a:off x="0" y="23590250"/>
          <a:ext cx="3444874" cy="1031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Elaboró: C.P.</a:t>
          </a:r>
          <a:r>
            <a:rPr lang="es-MX" sz="1100" b="1" baseline="0"/>
            <a:t> </a:t>
          </a:r>
          <a:r>
            <a:rPr lang="es-MX" sz="1100" b="1"/>
            <a:t>Luis Enrique</a:t>
          </a:r>
          <a:r>
            <a:rPr lang="es-MX" sz="1100" b="1" baseline="0"/>
            <a:t> Flores Conde </a:t>
          </a:r>
          <a:endParaRPr lang="es-MX" sz="1100" b="1"/>
        </a:p>
        <a:p>
          <a:r>
            <a:rPr lang="es-MX" sz="1100" b="1"/>
            <a:t>Puesto:</a:t>
          </a:r>
          <a:r>
            <a:rPr lang="es-MX" sz="1100" b="1" baseline="0"/>
            <a:t> Analista</a:t>
          </a:r>
          <a:endParaRPr lang="es-MX" sz="1100" b="1"/>
        </a:p>
        <a:p>
          <a:r>
            <a:rPr lang="es-MX" sz="1100" b="1"/>
            <a:t>Fecha:  30 de noviembre de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4</xdr:row>
      <xdr:rowOff>42548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52351-13DB-467C-9C91-71DB6B599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3625" cy="804548"/>
        </a:xfrm>
        <a:prstGeom prst="rect">
          <a:avLst/>
        </a:prstGeom>
      </xdr:spPr>
    </xdr:pic>
    <xdr:clientData/>
  </xdr:twoCellAnchor>
  <xdr:twoCellAnchor>
    <xdr:from>
      <xdr:col>0</xdr:col>
      <xdr:colOff>15876</xdr:colOff>
      <xdr:row>109</xdr:row>
      <xdr:rowOff>142876</xdr:rowOff>
    </xdr:from>
    <xdr:to>
      <xdr:col>2</xdr:col>
      <xdr:colOff>1905000</xdr:colOff>
      <xdr:row>115</xdr:row>
      <xdr:rowOff>31750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B109F09-0812-41DB-A648-0FDE4A91F08C}"/>
            </a:ext>
          </a:extLst>
        </xdr:cNvPr>
        <xdr:cNvSpPr txBox="1"/>
      </xdr:nvSpPr>
      <xdr:spPr>
        <a:xfrm>
          <a:off x="15876" y="28797251"/>
          <a:ext cx="3444874" cy="1031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Elaboró: C.P. Luis Enrique</a:t>
          </a:r>
          <a:r>
            <a:rPr lang="es-MX" sz="1100" b="1" baseline="0"/>
            <a:t> Flores Conde </a:t>
          </a:r>
          <a:endParaRPr lang="es-MX" sz="1100" b="1"/>
        </a:p>
        <a:p>
          <a:r>
            <a:rPr lang="es-MX" sz="1100" b="1"/>
            <a:t>Puesto:</a:t>
          </a:r>
          <a:r>
            <a:rPr lang="es-MX" sz="1100" b="1" baseline="0"/>
            <a:t> Analista </a:t>
          </a:r>
          <a:endParaRPr lang="es-MX" sz="1100" b="1"/>
        </a:p>
        <a:p>
          <a:r>
            <a:rPr lang="es-MX" sz="1100" b="1"/>
            <a:t>Fecha:  07 de febrero de 2019</a:t>
          </a:r>
        </a:p>
      </xdr:txBody>
    </xdr:sp>
    <xdr:clientData/>
  </xdr:twoCellAnchor>
  <xdr:twoCellAnchor>
    <xdr:from>
      <xdr:col>4</xdr:col>
      <xdr:colOff>1174750</xdr:colOff>
      <xdr:row>109</xdr:row>
      <xdr:rowOff>120650</xdr:rowOff>
    </xdr:from>
    <xdr:to>
      <xdr:col>6</xdr:col>
      <xdr:colOff>41275</xdr:colOff>
      <xdr:row>115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529FF1F-F704-4941-BA91-880605E8869C}"/>
            </a:ext>
          </a:extLst>
        </xdr:cNvPr>
        <xdr:cNvSpPr txBox="1"/>
      </xdr:nvSpPr>
      <xdr:spPr>
        <a:xfrm>
          <a:off x="7731125" y="28775025"/>
          <a:ext cx="3470275" cy="1117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Autorizó: Lic. Karina Vázquez Dáz </a:t>
          </a:r>
        </a:p>
        <a:p>
          <a:r>
            <a:rPr lang="es-MX" sz="1100" b="1"/>
            <a:t>Puesto: Directora General de Administración y Finanzas </a:t>
          </a:r>
        </a:p>
        <a:p>
          <a:r>
            <a:rPr lang="es-MX" sz="1100" b="1"/>
            <a:t>Fecha: 08 de febrero de 2019</a:t>
          </a:r>
        </a:p>
      </xdr:txBody>
    </xdr:sp>
    <xdr:clientData/>
  </xdr:twoCellAnchor>
  <xdr:twoCellAnchor>
    <xdr:from>
      <xdr:col>2</xdr:col>
      <xdr:colOff>2063750</xdr:colOff>
      <xdr:row>109</xdr:row>
      <xdr:rowOff>127000</xdr:rowOff>
    </xdr:from>
    <xdr:to>
      <xdr:col>4</xdr:col>
      <xdr:colOff>301624</xdr:colOff>
      <xdr:row>115</xdr:row>
      <xdr:rowOff>15874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61C4046-ABB9-41E1-B1D0-E937A500C15A}"/>
            </a:ext>
          </a:extLst>
        </xdr:cNvPr>
        <xdr:cNvSpPr txBox="1"/>
      </xdr:nvSpPr>
      <xdr:spPr>
        <a:xfrm>
          <a:off x="3619500" y="28781375"/>
          <a:ext cx="3444874" cy="1031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Elaboró: L.A.E. Froylan Hernández Viveros</a:t>
          </a:r>
        </a:p>
        <a:p>
          <a:r>
            <a:rPr lang="es-MX" sz="1100" b="1"/>
            <a:t>Puesto: Jefe de Servicios Generales y Control de Bienes </a:t>
          </a:r>
        </a:p>
        <a:p>
          <a:r>
            <a:rPr lang="es-MX" sz="1100" b="1"/>
            <a:t>Fecha:  07 de febrero de 2019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greso/Documents/RH/Partida%203000%20honor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RESUMEN"/>
      <sheetName val="PROYEC PAGOS"/>
    </sheetNames>
    <sheetDataSet>
      <sheetData sheetId="0"/>
      <sheetData sheetId="1">
        <row r="145">
          <cell r="S145">
            <v>18345501.789999999</v>
          </cell>
          <cell r="AF145">
            <v>9870942.2899999991</v>
          </cell>
          <cell r="AU145">
            <v>4213207.9000000004</v>
          </cell>
          <cell r="BG145">
            <v>1805659.9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6"/>
  <sheetViews>
    <sheetView topLeftCell="A25" workbookViewId="0">
      <selection activeCell="E35" sqref="E35"/>
    </sheetView>
  </sheetViews>
  <sheetFormatPr baseColWidth="10" defaultRowHeight="15" x14ac:dyDescent="0.25"/>
  <cols>
    <col min="2" max="2" width="15.140625" style="1" bestFit="1" customWidth="1"/>
    <col min="3" max="3" width="28.7109375" customWidth="1"/>
    <col min="4" max="4" width="18.5703125" customWidth="1"/>
    <col min="5" max="5" width="13.140625" bestFit="1" customWidth="1"/>
  </cols>
  <sheetData>
    <row r="2" spans="1:5" x14ac:dyDescent="0.25">
      <c r="A2" t="s">
        <v>204</v>
      </c>
    </row>
    <row r="3" spans="1:5" x14ac:dyDescent="0.25">
      <c r="A3" t="s">
        <v>116</v>
      </c>
    </row>
    <row r="4" spans="1:5" x14ac:dyDescent="0.25">
      <c r="A4">
        <v>1000</v>
      </c>
      <c r="B4" s="1">
        <f>+'1'!C20</f>
        <v>95305662.780000001</v>
      </c>
      <c r="D4" s="108">
        <v>0.03</v>
      </c>
      <c r="E4" s="1">
        <f>+B4*D4</f>
        <v>2859169.8833999997</v>
      </c>
    </row>
    <row r="5" spans="1:5" x14ac:dyDescent="0.25">
      <c r="A5">
        <v>2000</v>
      </c>
      <c r="B5" s="1">
        <f>+'2000'!C37</f>
        <v>6198200</v>
      </c>
    </row>
    <row r="6" spans="1:5" x14ac:dyDescent="0.25">
      <c r="A6">
        <v>3000</v>
      </c>
      <c r="B6" s="1">
        <f>+'3000'!C60</f>
        <v>115932905.06</v>
      </c>
    </row>
    <row r="7" spans="1:5" x14ac:dyDescent="0.25">
      <c r="A7">
        <v>4000</v>
      </c>
      <c r="B7" s="1">
        <v>2200000</v>
      </c>
      <c r="C7" s="1">
        <v>400000</v>
      </c>
      <c r="D7" s="121">
        <f>+B7-C7</f>
        <v>1800000</v>
      </c>
      <c r="E7" s="1">
        <f>+D7/12</f>
        <v>150000</v>
      </c>
    </row>
    <row r="8" spans="1:5" x14ac:dyDescent="0.25">
      <c r="A8">
        <v>5000</v>
      </c>
      <c r="B8" s="1">
        <f>2763014+314712.06+1338022.09-1.99</f>
        <v>4415746.16</v>
      </c>
    </row>
    <row r="10" spans="1:5" x14ac:dyDescent="0.25">
      <c r="B10" s="1">
        <f>SUM(B4:B8)</f>
        <v>224052514</v>
      </c>
    </row>
    <row r="11" spans="1:5" x14ac:dyDescent="0.25">
      <c r="B11" s="1">
        <v>224052514</v>
      </c>
    </row>
    <row r="12" spans="1:5" x14ac:dyDescent="0.25">
      <c r="B12" s="1">
        <f>+B11-B10</f>
        <v>0</v>
      </c>
    </row>
    <row r="13" spans="1:5" x14ac:dyDescent="0.25">
      <c r="B13" s="1">
        <v>12000000</v>
      </c>
    </row>
    <row r="14" spans="1:5" x14ac:dyDescent="0.25">
      <c r="B14" s="1">
        <f>+B12-B13</f>
        <v>-12000000</v>
      </c>
    </row>
    <row r="19" spans="2:6" x14ac:dyDescent="0.25">
      <c r="B19" s="1" t="s">
        <v>227</v>
      </c>
      <c r="C19" s="1">
        <v>12000</v>
      </c>
      <c r="D19" s="1">
        <v>41</v>
      </c>
      <c r="E19" s="1">
        <f>+C19*D19</f>
        <v>492000</v>
      </c>
      <c r="F19" t="s">
        <v>233</v>
      </c>
    </row>
    <row r="20" spans="2:6" x14ac:dyDescent="0.25">
      <c r="B20" s="1" t="s">
        <v>227</v>
      </c>
      <c r="C20" s="1">
        <v>10000</v>
      </c>
      <c r="F20" t="s">
        <v>234</v>
      </c>
    </row>
    <row r="21" spans="2:6" x14ac:dyDescent="0.25">
      <c r="B21" s="1" t="s">
        <v>228</v>
      </c>
    </row>
    <row r="22" spans="2:6" x14ac:dyDescent="0.25">
      <c r="C22" t="s">
        <v>229</v>
      </c>
      <c r="D22" t="s">
        <v>230</v>
      </c>
    </row>
    <row r="24" spans="2:6" x14ac:dyDescent="0.25">
      <c r="B24" s="1" t="s">
        <v>231</v>
      </c>
      <c r="C24" t="s">
        <v>232</v>
      </c>
      <c r="D24" s="1">
        <v>12000</v>
      </c>
    </row>
    <row r="25" spans="2:6" x14ac:dyDescent="0.25">
      <c r="B25" s="1" t="s">
        <v>235</v>
      </c>
    </row>
    <row r="30" spans="2:6" x14ac:dyDescent="0.25">
      <c r="B30" s="226" t="s">
        <v>308</v>
      </c>
      <c r="C30" s="227"/>
      <c r="D30" s="171" t="s">
        <v>309</v>
      </c>
    </row>
    <row r="31" spans="2:6" x14ac:dyDescent="0.25">
      <c r="B31" s="185">
        <v>1000</v>
      </c>
      <c r="C31" s="24" t="s">
        <v>370</v>
      </c>
      <c r="D31" s="163">
        <f>+'1'!C20</f>
        <v>95305662.780000001</v>
      </c>
    </row>
    <row r="32" spans="2:6" x14ac:dyDescent="0.25">
      <c r="B32" s="185">
        <v>2000</v>
      </c>
      <c r="C32" s="24" t="s">
        <v>371</v>
      </c>
      <c r="D32" s="66">
        <f>+'2'!C40</f>
        <v>6198200</v>
      </c>
    </row>
    <row r="33" spans="2:4" x14ac:dyDescent="0.25">
      <c r="B33" s="185">
        <v>3000</v>
      </c>
      <c r="C33" s="24" t="s">
        <v>372</v>
      </c>
      <c r="D33" s="66">
        <f>+'3'!C63</f>
        <v>119280445.91</v>
      </c>
    </row>
    <row r="34" spans="2:4" ht="31.5" customHeight="1" x14ac:dyDescent="0.25">
      <c r="B34" s="186">
        <v>4000</v>
      </c>
      <c r="C34" s="65" t="s">
        <v>373</v>
      </c>
      <c r="D34" s="172">
        <f>+'4'!C8</f>
        <v>1800000</v>
      </c>
    </row>
    <row r="35" spans="2:4" x14ac:dyDescent="0.25">
      <c r="B35" s="185">
        <v>5000</v>
      </c>
      <c r="C35" s="65" t="s">
        <v>342</v>
      </c>
      <c r="D35" s="160">
        <f>+'5'!C19</f>
        <v>1748205</v>
      </c>
    </row>
    <row r="36" spans="2:4" x14ac:dyDescent="0.25">
      <c r="B36" s="187"/>
      <c r="C36" s="24"/>
      <c r="D36" s="163">
        <f>SUM(D31:D35)</f>
        <v>224332513.69</v>
      </c>
    </row>
  </sheetData>
  <mergeCells count="1">
    <mergeCell ref="B30:C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F4D3-4888-4AC8-8CAD-8ED188C58E30}">
  <dimension ref="A2:F87"/>
  <sheetViews>
    <sheetView view="pageBreakPreview" topLeftCell="A75" zoomScale="60" zoomScaleNormal="100" workbookViewId="0">
      <selection activeCell="A91" sqref="A91"/>
    </sheetView>
  </sheetViews>
  <sheetFormatPr baseColWidth="10" defaultRowHeight="15" x14ac:dyDescent="0.25"/>
  <cols>
    <col min="1" max="1" width="12" bestFit="1" customWidth="1"/>
    <col min="3" max="3" width="57.7109375" customWidth="1"/>
    <col min="4" max="4" width="23" bestFit="1" customWidth="1"/>
    <col min="5" max="5" width="45.7109375" customWidth="1"/>
    <col min="6" max="6" width="23.28515625" customWidth="1"/>
  </cols>
  <sheetData>
    <row r="2" spans="1:6" x14ac:dyDescent="0.25">
      <c r="A2" s="288" t="s">
        <v>375</v>
      </c>
      <c r="B2" s="288"/>
      <c r="C2" s="288"/>
      <c r="D2" s="288"/>
      <c r="E2" s="288"/>
      <c r="F2" s="288"/>
    </row>
    <row r="3" spans="1:6" x14ac:dyDescent="0.25">
      <c r="A3" s="288" t="s">
        <v>376</v>
      </c>
      <c r="B3" s="288"/>
      <c r="C3" s="288"/>
      <c r="D3" s="288"/>
      <c r="E3" s="288"/>
      <c r="F3" s="288"/>
    </row>
    <row r="4" spans="1:6" x14ac:dyDescent="0.25">
      <c r="A4" s="288" t="s">
        <v>377</v>
      </c>
      <c r="B4" s="288"/>
      <c r="C4" s="288"/>
      <c r="D4" s="288"/>
      <c r="E4" s="288"/>
      <c r="F4" s="288"/>
    </row>
    <row r="5" spans="1:6" x14ac:dyDescent="0.25">
      <c r="A5" s="288" t="s">
        <v>378</v>
      </c>
      <c r="B5" s="288"/>
      <c r="C5" s="288"/>
      <c r="D5" s="288"/>
      <c r="E5" s="288"/>
      <c r="F5" s="288"/>
    </row>
    <row r="8" spans="1:6" ht="30.75" customHeight="1" x14ac:dyDescent="0.25">
      <c r="A8" s="220" t="s">
        <v>374</v>
      </c>
      <c r="B8" s="220" t="s">
        <v>116</v>
      </c>
      <c r="C8" s="220" t="s">
        <v>298</v>
      </c>
      <c r="D8" s="220" t="s">
        <v>115</v>
      </c>
      <c r="E8" s="219" t="s">
        <v>299</v>
      </c>
      <c r="F8" s="220" t="s">
        <v>118</v>
      </c>
    </row>
    <row r="9" spans="1:6" ht="28.5" x14ac:dyDescent="0.25">
      <c r="A9" s="210">
        <v>1</v>
      </c>
      <c r="B9" s="202" t="s">
        <v>11</v>
      </c>
      <c r="C9" s="223" t="s">
        <v>67</v>
      </c>
      <c r="D9" s="211">
        <v>1150000</v>
      </c>
      <c r="E9" s="157" t="s">
        <v>55</v>
      </c>
      <c r="F9" s="199" t="s">
        <v>64</v>
      </c>
    </row>
    <row r="10" spans="1:6" ht="28.5" x14ac:dyDescent="0.25">
      <c r="A10" s="210">
        <v>2</v>
      </c>
      <c r="B10" s="289" t="s">
        <v>12</v>
      </c>
      <c r="C10" s="290" t="s">
        <v>68</v>
      </c>
      <c r="D10" s="292">
        <v>400000</v>
      </c>
      <c r="E10" s="200" t="s">
        <v>300</v>
      </c>
      <c r="F10" s="199" t="s">
        <v>64</v>
      </c>
    </row>
    <row r="11" spans="1:6" ht="28.5" x14ac:dyDescent="0.25">
      <c r="A11" s="210">
        <v>3</v>
      </c>
      <c r="B11" s="289"/>
      <c r="C11" s="291"/>
      <c r="D11" s="293"/>
      <c r="E11" s="200" t="s">
        <v>313</v>
      </c>
      <c r="F11" s="201" t="s">
        <v>65</v>
      </c>
    </row>
    <row r="12" spans="1:6" x14ac:dyDescent="0.25">
      <c r="A12" s="210">
        <v>4</v>
      </c>
      <c r="B12" s="294" t="s">
        <v>13</v>
      </c>
      <c r="C12" s="295" t="s">
        <v>70</v>
      </c>
      <c r="D12" s="292">
        <v>260000</v>
      </c>
      <c r="E12" s="200" t="s">
        <v>122</v>
      </c>
      <c r="F12" s="201" t="s">
        <v>65</v>
      </c>
    </row>
    <row r="13" spans="1:6" x14ac:dyDescent="0.25">
      <c r="A13" s="210">
        <v>5</v>
      </c>
      <c r="B13" s="294"/>
      <c r="C13" s="295"/>
      <c r="D13" s="296"/>
      <c r="E13" s="200" t="s">
        <v>105</v>
      </c>
      <c r="F13" s="201" t="s">
        <v>65</v>
      </c>
    </row>
    <row r="14" spans="1:6" ht="28.5" x14ac:dyDescent="0.25">
      <c r="A14" s="210">
        <v>6</v>
      </c>
      <c r="B14" s="294"/>
      <c r="C14" s="295"/>
      <c r="D14" s="293"/>
      <c r="E14" s="157" t="s">
        <v>71</v>
      </c>
      <c r="F14" s="117" t="s">
        <v>65</v>
      </c>
    </row>
    <row r="15" spans="1:6" ht="28.5" x14ac:dyDescent="0.25">
      <c r="A15" s="210">
        <v>7</v>
      </c>
      <c r="B15" s="202" t="s">
        <v>14</v>
      </c>
      <c r="C15" s="114" t="s">
        <v>72</v>
      </c>
      <c r="D15" s="212">
        <v>15000</v>
      </c>
      <c r="E15" s="157" t="s">
        <v>125</v>
      </c>
      <c r="F15" s="225" t="s">
        <v>73</v>
      </c>
    </row>
    <row r="16" spans="1:6" x14ac:dyDescent="0.25">
      <c r="A16" s="210">
        <v>8</v>
      </c>
      <c r="B16" s="289" t="s">
        <v>15</v>
      </c>
      <c r="C16" s="297" t="s">
        <v>314</v>
      </c>
      <c r="D16" s="300">
        <v>1250000</v>
      </c>
      <c r="E16" s="157" t="s">
        <v>75</v>
      </c>
      <c r="F16" s="201" t="s">
        <v>65</v>
      </c>
    </row>
    <row r="17" spans="1:6" x14ac:dyDescent="0.25">
      <c r="A17" s="210">
        <v>9</v>
      </c>
      <c r="B17" s="289"/>
      <c r="C17" s="298"/>
      <c r="D17" s="301"/>
      <c r="E17" s="157" t="s">
        <v>215</v>
      </c>
      <c r="F17" s="201"/>
    </row>
    <row r="18" spans="1:6" x14ac:dyDescent="0.25">
      <c r="A18" s="210">
        <v>10</v>
      </c>
      <c r="B18" s="289"/>
      <c r="C18" s="299"/>
      <c r="D18" s="302"/>
      <c r="E18" s="157" t="s">
        <v>76</v>
      </c>
      <c r="F18" s="201" t="s">
        <v>65</v>
      </c>
    </row>
    <row r="19" spans="1:6" x14ac:dyDescent="0.25">
      <c r="A19" s="210">
        <v>11</v>
      </c>
      <c r="B19" s="289" t="s">
        <v>16</v>
      </c>
      <c r="C19" s="297" t="s">
        <v>77</v>
      </c>
      <c r="D19" s="292">
        <v>58000</v>
      </c>
      <c r="E19" s="157" t="s">
        <v>126</v>
      </c>
      <c r="F19" s="225" t="s">
        <v>73</v>
      </c>
    </row>
    <row r="20" spans="1:6" ht="28.5" x14ac:dyDescent="0.25">
      <c r="A20" s="210">
        <v>12</v>
      </c>
      <c r="B20" s="289"/>
      <c r="C20" s="298"/>
      <c r="D20" s="296"/>
      <c r="E20" s="157" t="s">
        <v>216</v>
      </c>
      <c r="F20" s="225" t="s">
        <v>73</v>
      </c>
    </row>
    <row r="21" spans="1:6" x14ac:dyDescent="0.25">
      <c r="A21" s="210">
        <v>13</v>
      </c>
      <c r="B21" s="289"/>
      <c r="C21" s="298"/>
      <c r="D21" s="296"/>
      <c r="E21" s="157" t="s">
        <v>315</v>
      </c>
      <c r="F21" s="225"/>
    </row>
    <row r="22" spans="1:6" x14ac:dyDescent="0.25">
      <c r="A22" s="210">
        <v>14</v>
      </c>
      <c r="B22" s="289"/>
      <c r="C22" s="299"/>
      <c r="D22" s="293"/>
      <c r="E22" s="157" t="s">
        <v>362</v>
      </c>
      <c r="F22" s="225" t="s">
        <v>73</v>
      </c>
    </row>
    <row r="23" spans="1:6" ht="28.5" x14ac:dyDescent="0.25">
      <c r="A23" s="210">
        <v>15</v>
      </c>
      <c r="B23" s="221" t="s">
        <v>78</v>
      </c>
      <c r="C23" s="222" t="s">
        <v>79</v>
      </c>
      <c r="D23" s="213">
        <v>500000</v>
      </c>
      <c r="E23" s="157" t="s">
        <v>80</v>
      </c>
      <c r="F23" s="225" t="s">
        <v>64</v>
      </c>
    </row>
    <row r="24" spans="1:6" x14ac:dyDescent="0.25">
      <c r="A24" s="210">
        <v>16</v>
      </c>
      <c r="B24" s="221" t="s">
        <v>81</v>
      </c>
      <c r="C24" s="114" t="s">
        <v>82</v>
      </c>
      <c r="D24" s="212">
        <v>145000</v>
      </c>
      <c r="E24" s="157" t="s">
        <v>316</v>
      </c>
      <c r="F24" s="225" t="s">
        <v>65</v>
      </c>
    </row>
    <row r="25" spans="1:6" x14ac:dyDescent="0.25">
      <c r="A25" s="210">
        <v>17</v>
      </c>
      <c r="B25" s="221" t="s">
        <v>83</v>
      </c>
      <c r="C25" s="114" t="s">
        <v>84</v>
      </c>
      <c r="D25" s="212">
        <v>125000</v>
      </c>
      <c r="E25" s="157" t="s">
        <v>85</v>
      </c>
      <c r="F25" s="225" t="s">
        <v>65</v>
      </c>
    </row>
    <row r="26" spans="1:6" ht="28.5" x14ac:dyDescent="0.25">
      <c r="A26" s="210">
        <v>18</v>
      </c>
      <c r="B26" s="221" t="s">
        <v>17</v>
      </c>
      <c r="C26" s="114" t="s">
        <v>87</v>
      </c>
      <c r="D26" s="212">
        <v>375000</v>
      </c>
      <c r="E26" s="204" t="s">
        <v>88</v>
      </c>
      <c r="F26" s="225" t="s">
        <v>64</v>
      </c>
    </row>
    <row r="27" spans="1:6" ht="28.5" x14ac:dyDescent="0.25">
      <c r="A27" s="210">
        <v>19</v>
      </c>
      <c r="B27" s="221" t="s">
        <v>18</v>
      </c>
      <c r="C27" s="114" t="s">
        <v>89</v>
      </c>
      <c r="D27" s="212">
        <v>205000</v>
      </c>
      <c r="E27" s="157" t="s">
        <v>90</v>
      </c>
      <c r="F27" s="117" t="s">
        <v>65</v>
      </c>
    </row>
    <row r="28" spans="1:6" x14ac:dyDescent="0.25">
      <c r="A28" s="210">
        <v>20</v>
      </c>
      <c r="B28" s="224" t="s">
        <v>19</v>
      </c>
      <c r="C28" s="225" t="s">
        <v>99</v>
      </c>
      <c r="D28" s="214">
        <v>390000</v>
      </c>
      <c r="E28" s="157" t="s">
        <v>318</v>
      </c>
      <c r="F28" s="225" t="s">
        <v>65</v>
      </c>
    </row>
    <row r="29" spans="1:6" ht="28.5" x14ac:dyDescent="0.25">
      <c r="A29" s="210">
        <v>21</v>
      </c>
      <c r="B29" s="221" t="s">
        <v>20</v>
      </c>
      <c r="C29" s="114" t="s">
        <v>92</v>
      </c>
      <c r="D29" s="212">
        <v>230000</v>
      </c>
      <c r="E29" s="157" t="s">
        <v>218</v>
      </c>
      <c r="F29" s="117" t="s">
        <v>65</v>
      </c>
    </row>
    <row r="30" spans="1:6" ht="28.5" x14ac:dyDescent="0.25">
      <c r="A30" s="210">
        <v>22</v>
      </c>
      <c r="B30" s="221" t="s">
        <v>93</v>
      </c>
      <c r="C30" s="114" t="s">
        <v>94</v>
      </c>
      <c r="D30" s="212">
        <v>350000</v>
      </c>
      <c r="E30" s="157" t="s">
        <v>319</v>
      </c>
      <c r="F30" s="117" t="s">
        <v>65</v>
      </c>
    </row>
    <row r="31" spans="1:6" ht="28.5" x14ac:dyDescent="0.25">
      <c r="A31" s="210">
        <v>23</v>
      </c>
      <c r="B31" s="221" t="s">
        <v>96</v>
      </c>
      <c r="C31" s="114" t="s">
        <v>97</v>
      </c>
      <c r="D31" s="212">
        <v>150000</v>
      </c>
      <c r="E31" s="157" t="s">
        <v>98</v>
      </c>
      <c r="F31" s="117" t="s">
        <v>65</v>
      </c>
    </row>
    <row r="32" spans="1:6" x14ac:dyDescent="0.25">
      <c r="A32" s="210">
        <v>24</v>
      </c>
      <c r="B32" s="289" t="s">
        <v>100</v>
      </c>
      <c r="C32" s="303" t="s">
        <v>101</v>
      </c>
      <c r="D32" s="305">
        <v>275200</v>
      </c>
      <c r="E32" s="135" t="s">
        <v>102</v>
      </c>
      <c r="F32" s="117" t="s">
        <v>65</v>
      </c>
    </row>
    <row r="33" spans="1:6" x14ac:dyDescent="0.25">
      <c r="A33" s="210">
        <v>25</v>
      </c>
      <c r="B33" s="289"/>
      <c r="C33" s="304"/>
      <c r="D33" s="306"/>
      <c r="E33" s="135" t="s">
        <v>103</v>
      </c>
      <c r="F33" s="117" t="s">
        <v>65</v>
      </c>
    </row>
    <row r="34" spans="1:6" ht="28.5" x14ac:dyDescent="0.25">
      <c r="A34" s="210">
        <v>26</v>
      </c>
      <c r="B34" s="221" t="s">
        <v>21</v>
      </c>
      <c r="C34" s="114" t="s">
        <v>104</v>
      </c>
      <c r="D34" s="212">
        <v>150000</v>
      </c>
      <c r="E34" s="157" t="s">
        <v>320</v>
      </c>
      <c r="F34" s="117" t="s">
        <v>65</v>
      </c>
    </row>
    <row r="35" spans="1:6" ht="28.5" x14ac:dyDescent="0.25">
      <c r="A35" s="210">
        <v>27</v>
      </c>
      <c r="B35" s="221" t="s">
        <v>22</v>
      </c>
      <c r="C35" s="114" t="s">
        <v>106</v>
      </c>
      <c r="D35" s="212">
        <v>80000</v>
      </c>
      <c r="E35" s="157" t="s">
        <v>321</v>
      </c>
      <c r="F35" s="117" t="s">
        <v>65</v>
      </c>
    </row>
    <row r="36" spans="1:6" ht="28.5" x14ac:dyDescent="0.25">
      <c r="A36" s="210">
        <v>28</v>
      </c>
      <c r="B36" s="221" t="s">
        <v>108</v>
      </c>
      <c r="C36" s="114" t="s">
        <v>109</v>
      </c>
      <c r="D36" s="212">
        <v>20000</v>
      </c>
      <c r="E36" s="157" t="s">
        <v>110</v>
      </c>
      <c r="F36" s="117" t="s">
        <v>65</v>
      </c>
    </row>
    <row r="37" spans="1:6" ht="42.75" x14ac:dyDescent="0.25">
      <c r="A37" s="210">
        <v>29</v>
      </c>
      <c r="B37" s="221" t="s">
        <v>23</v>
      </c>
      <c r="C37" s="114" t="s">
        <v>111</v>
      </c>
      <c r="D37" s="212">
        <v>20000</v>
      </c>
      <c r="E37" s="157" t="s">
        <v>322</v>
      </c>
      <c r="F37" s="117" t="s">
        <v>65</v>
      </c>
    </row>
    <row r="38" spans="1:6" ht="28.5" x14ac:dyDescent="0.25">
      <c r="A38" s="210">
        <v>30</v>
      </c>
      <c r="B38" s="221" t="s">
        <v>113</v>
      </c>
      <c r="C38" s="114" t="s">
        <v>114</v>
      </c>
      <c r="D38" s="212">
        <v>50000</v>
      </c>
      <c r="E38" s="157" t="s">
        <v>323</v>
      </c>
      <c r="F38" s="117" t="s">
        <v>65</v>
      </c>
    </row>
    <row r="39" spans="1:6" ht="28.5" x14ac:dyDescent="0.25">
      <c r="A39" s="210">
        <v>31</v>
      </c>
      <c r="B39" s="289" t="s">
        <v>24</v>
      </c>
      <c r="C39" s="297" t="s">
        <v>131</v>
      </c>
      <c r="D39" s="292">
        <v>580692.75</v>
      </c>
      <c r="E39" s="94" t="s">
        <v>166</v>
      </c>
      <c r="F39" s="297" t="s">
        <v>73</v>
      </c>
    </row>
    <row r="40" spans="1:6" ht="28.5" x14ac:dyDescent="0.25">
      <c r="A40" s="210">
        <v>32</v>
      </c>
      <c r="B40" s="289"/>
      <c r="C40" s="299"/>
      <c r="D40" s="293"/>
      <c r="E40" s="222" t="s">
        <v>167</v>
      </c>
      <c r="F40" s="299"/>
    </row>
    <row r="41" spans="1:6" ht="28.5" x14ac:dyDescent="0.25">
      <c r="A41" s="210">
        <v>33</v>
      </c>
      <c r="B41" s="289" t="s">
        <v>25</v>
      </c>
      <c r="C41" s="297" t="s">
        <v>132</v>
      </c>
      <c r="D41" s="292">
        <v>129647.04000000001</v>
      </c>
      <c r="E41" s="94" t="s">
        <v>162</v>
      </c>
      <c r="F41" s="222" t="s">
        <v>73</v>
      </c>
    </row>
    <row r="42" spans="1:6" x14ac:dyDescent="0.25">
      <c r="A42" s="210">
        <v>34</v>
      </c>
      <c r="B42" s="289"/>
      <c r="C42" s="299"/>
      <c r="D42" s="293"/>
      <c r="E42" s="94" t="s">
        <v>200</v>
      </c>
      <c r="F42" s="222" t="s">
        <v>65</v>
      </c>
    </row>
    <row r="43" spans="1:6" ht="28.5" x14ac:dyDescent="0.25">
      <c r="A43" s="210">
        <v>35</v>
      </c>
      <c r="B43" s="221" t="s">
        <v>26</v>
      </c>
      <c r="C43" s="94" t="s">
        <v>133</v>
      </c>
      <c r="D43" s="215">
        <v>1400000</v>
      </c>
      <c r="E43" s="94" t="s">
        <v>171</v>
      </c>
      <c r="F43" s="222" t="s">
        <v>163</v>
      </c>
    </row>
    <row r="44" spans="1:6" ht="28.5" customHeight="1" x14ac:dyDescent="0.25">
      <c r="A44" s="210">
        <v>36</v>
      </c>
      <c r="B44" s="289" t="s">
        <v>164</v>
      </c>
      <c r="C44" s="307" t="s">
        <v>165</v>
      </c>
      <c r="D44" s="310">
        <v>1280000</v>
      </c>
      <c r="E44" s="94" t="s">
        <v>168</v>
      </c>
      <c r="F44" s="222" t="s">
        <v>65</v>
      </c>
    </row>
    <row r="45" spans="1:6" x14ac:dyDescent="0.25">
      <c r="A45" s="210">
        <v>37</v>
      </c>
      <c r="B45" s="289"/>
      <c r="C45" s="308"/>
      <c r="D45" s="311"/>
      <c r="E45" s="94" t="s">
        <v>173</v>
      </c>
      <c r="F45" s="222" t="s">
        <v>65</v>
      </c>
    </row>
    <row r="46" spans="1:6" x14ac:dyDescent="0.25">
      <c r="A46" s="210">
        <v>38</v>
      </c>
      <c r="B46" s="289"/>
      <c r="C46" s="308"/>
      <c r="D46" s="311"/>
      <c r="E46" s="94" t="s">
        <v>174</v>
      </c>
      <c r="F46" s="222" t="s">
        <v>65</v>
      </c>
    </row>
    <row r="47" spans="1:6" x14ac:dyDescent="0.25">
      <c r="A47" s="210">
        <v>39</v>
      </c>
      <c r="B47" s="289"/>
      <c r="C47" s="308"/>
      <c r="D47" s="311"/>
      <c r="E47" s="94" t="s">
        <v>172</v>
      </c>
      <c r="F47" s="222" t="s">
        <v>210</v>
      </c>
    </row>
    <row r="48" spans="1:6" x14ac:dyDescent="0.25">
      <c r="A48" s="210">
        <v>40</v>
      </c>
      <c r="B48" s="289"/>
      <c r="C48" s="308"/>
      <c r="D48" s="311"/>
      <c r="E48" s="94" t="s">
        <v>175</v>
      </c>
      <c r="F48" s="222" t="s">
        <v>210</v>
      </c>
    </row>
    <row r="49" spans="1:6" x14ac:dyDescent="0.25">
      <c r="A49" s="210">
        <v>41</v>
      </c>
      <c r="B49" s="289"/>
      <c r="C49" s="308"/>
      <c r="D49" s="311"/>
      <c r="E49" s="94" t="s">
        <v>223</v>
      </c>
      <c r="F49" s="222" t="s">
        <v>73</v>
      </c>
    </row>
    <row r="50" spans="1:6" x14ac:dyDescent="0.25">
      <c r="A50" s="210">
        <v>42</v>
      </c>
      <c r="B50" s="289"/>
      <c r="C50" s="309"/>
      <c r="D50" s="312"/>
      <c r="E50" s="94" t="s">
        <v>176</v>
      </c>
      <c r="F50" s="222" t="s">
        <v>65</v>
      </c>
    </row>
    <row r="51" spans="1:6" x14ac:dyDescent="0.25">
      <c r="A51" s="210">
        <v>43</v>
      </c>
      <c r="B51" s="289" t="s">
        <v>27</v>
      </c>
      <c r="C51" s="297" t="s">
        <v>134</v>
      </c>
      <c r="D51" s="292">
        <v>291211.95</v>
      </c>
      <c r="E51" s="94" t="s">
        <v>178</v>
      </c>
      <c r="F51" s="103"/>
    </row>
    <row r="52" spans="1:6" ht="28.5" x14ac:dyDescent="0.25">
      <c r="A52" s="210">
        <v>44</v>
      </c>
      <c r="B52" s="289"/>
      <c r="C52" s="299"/>
      <c r="D52" s="293"/>
      <c r="E52" s="94" t="s">
        <v>179</v>
      </c>
      <c r="F52" s="103"/>
    </row>
    <row r="53" spans="1:6" ht="28.5" x14ac:dyDescent="0.25">
      <c r="A53" s="210">
        <v>45</v>
      </c>
      <c r="B53" s="289" t="s">
        <v>184</v>
      </c>
      <c r="C53" s="297" t="s">
        <v>185</v>
      </c>
      <c r="D53" s="292">
        <v>1140000</v>
      </c>
      <c r="E53" s="94" t="s">
        <v>186</v>
      </c>
      <c r="F53" s="103" t="s">
        <v>210</v>
      </c>
    </row>
    <row r="54" spans="1:6" x14ac:dyDescent="0.25">
      <c r="A54" s="210">
        <v>46</v>
      </c>
      <c r="B54" s="289"/>
      <c r="C54" s="299"/>
      <c r="D54" s="293"/>
      <c r="E54" s="94" t="s">
        <v>187</v>
      </c>
      <c r="F54" s="103" t="s">
        <v>65</v>
      </c>
    </row>
    <row r="55" spans="1:6" ht="28.5" x14ac:dyDescent="0.25">
      <c r="A55" s="210">
        <v>47</v>
      </c>
      <c r="B55" s="221" t="s">
        <v>180</v>
      </c>
      <c r="C55" s="94" t="s">
        <v>181</v>
      </c>
      <c r="D55" s="216">
        <v>120000</v>
      </c>
      <c r="E55" s="94" t="s">
        <v>182</v>
      </c>
      <c r="F55" s="103" t="s">
        <v>65</v>
      </c>
    </row>
    <row r="56" spans="1:6" x14ac:dyDescent="0.25">
      <c r="A56" s="210">
        <v>48</v>
      </c>
      <c r="B56" s="289" t="s">
        <v>188</v>
      </c>
      <c r="C56" s="307" t="s">
        <v>189</v>
      </c>
      <c r="D56" s="310">
        <v>1034080</v>
      </c>
      <c r="E56" s="94" t="s">
        <v>190</v>
      </c>
      <c r="F56" s="103" t="s">
        <v>65</v>
      </c>
    </row>
    <row r="57" spans="1:6" x14ac:dyDescent="0.25">
      <c r="A57" s="210">
        <v>49</v>
      </c>
      <c r="B57" s="289"/>
      <c r="C57" s="308"/>
      <c r="D57" s="311"/>
      <c r="E57" s="94" t="s">
        <v>211</v>
      </c>
      <c r="F57" s="103" t="s">
        <v>65</v>
      </c>
    </row>
    <row r="58" spans="1:6" x14ac:dyDescent="0.25">
      <c r="A58" s="210">
        <v>50</v>
      </c>
      <c r="B58" s="289"/>
      <c r="C58" s="308"/>
      <c r="D58" s="311"/>
      <c r="E58" s="94" t="s">
        <v>199</v>
      </c>
      <c r="F58" s="103" t="s">
        <v>73</v>
      </c>
    </row>
    <row r="59" spans="1:6" x14ac:dyDescent="0.25">
      <c r="A59" s="210">
        <v>51</v>
      </c>
      <c r="B59" s="289"/>
      <c r="C59" s="308"/>
      <c r="D59" s="311"/>
      <c r="E59" s="94" t="s">
        <v>214</v>
      </c>
      <c r="F59" s="103" t="s">
        <v>65</v>
      </c>
    </row>
    <row r="60" spans="1:6" ht="28.5" x14ac:dyDescent="0.25">
      <c r="A60" s="210">
        <v>52</v>
      </c>
      <c r="B60" s="289"/>
      <c r="C60" s="308"/>
      <c r="D60" s="311"/>
      <c r="E60" s="94" t="s">
        <v>220</v>
      </c>
      <c r="F60" s="103" t="s">
        <v>65</v>
      </c>
    </row>
    <row r="61" spans="1:6" x14ac:dyDescent="0.25">
      <c r="A61" s="210">
        <v>53</v>
      </c>
      <c r="B61" s="289"/>
      <c r="C61" s="309"/>
      <c r="D61" s="312"/>
      <c r="E61" s="94" t="s">
        <v>219</v>
      </c>
      <c r="F61" s="138" t="s">
        <v>73</v>
      </c>
    </row>
    <row r="62" spans="1:6" x14ac:dyDescent="0.25">
      <c r="A62" s="210">
        <v>54</v>
      </c>
      <c r="B62" s="289" t="s">
        <v>28</v>
      </c>
      <c r="C62" s="298" t="s">
        <v>193</v>
      </c>
      <c r="D62" s="292">
        <v>629040</v>
      </c>
      <c r="E62" s="94" t="s">
        <v>191</v>
      </c>
      <c r="F62" s="138" t="s">
        <v>73</v>
      </c>
    </row>
    <row r="63" spans="1:6" x14ac:dyDescent="0.25">
      <c r="A63" s="210">
        <v>55</v>
      </c>
      <c r="B63" s="289"/>
      <c r="C63" s="299"/>
      <c r="D63" s="293"/>
      <c r="E63" s="94" t="s">
        <v>192</v>
      </c>
      <c r="F63" s="138" t="s">
        <v>73</v>
      </c>
    </row>
    <row r="64" spans="1:6" x14ac:dyDescent="0.25">
      <c r="A64" s="210">
        <v>56</v>
      </c>
      <c r="B64" s="289" t="s">
        <v>29</v>
      </c>
      <c r="C64" s="307" t="s">
        <v>135</v>
      </c>
      <c r="D64" s="310">
        <v>2470000</v>
      </c>
      <c r="E64" s="94" t="s">
        <v>195</v>
      </c>
      <c r="F64" s="103" t="s">
        <v>210</v>
      </c>
    </row>
    <row r="65" spans="1:6" x14ac:dyDescent="0.25">
      <c r="A65" s="210">
        <v>57</v>
      </c>
      <c r="B65" s="289"/>
      <c r="C65" s="308"/>
      <c r="D65" s="311"/>
      <c r="E65" s="94" t="s">
        <v>212</v>
      </c>
      <c r="F65" s="103" t="s">
        <v>210</v>
      </c>
    </row>
    <row r="66" spans="1:6" ht="28.5" x14ac:dyDescent="0.25">
      <c r="A66" s="210">
        <v>58</v>
      </c>
      <c r="B66" s="289"/>
      <c r="C66" s="308"/>
      <c r="D66" s="311"/>
      <c r="E66" s="94" t="s">
        <v>213</v>
      </c>
      <c r="F66" s="103" t="s">
        <v>210</v>
      </c>
    </row>
    <row r="67" spans="1:6" x14ac:dyDescent="0.25">
      <c r="A67" s="210">
        <v>59</v>
      </c>
      <c r="B67" s="289"/>
      <c r="C67" s="308"/>
      <c r="D67" s="311"/>
      <c r="E67" s="94" t="s">
        <v>194</v>
      </c>
      <c r="F67" s="103" t="s">
        <v>210</v>
      </c>
    </row>
    <row r="68" spans="1:6" x14ac:dyDescent="0.25">
      <c r="A68" s="210">
        <v>60</v>
      </c>
      <c r="B68" s="289"/>
      <c r="C68" s="309"/>
      <c r="D68" s="312"/>
      <c r="E68" s="94" t="s">
        <v>201</v>
      </c>
      <c r="F68" s="103" t="s">
        <v>65</v>
      </c>
    </row>
    <row r="69" spans="1:6" x14ac:dyDescent="0.25">
      <c r="A69" s="210">
        <v>61</v>
      </c>
      <c r="B69" s="221" t="s">
        <v>205</v>
      </c>
      <c r="C69" s="94" t="s">
        <v>206</v>
      </c>
      <c r="D69" s="217">
        <v>415000</v>
      </c>
      <c r="E69" s="94" t="s">
        <v>207</v>
      </c>
      <c r="F69" s="138" t="s">
        <v>73</v>
      </c>
    </row>
    <row r="70" spans="1:6" ht="28.5" x14ac:dyDescent="0.25">
      <c r="A70" s="210">
        <v>62</v>
      </c>
      <c r="B70" s="221" t="s">
        <v>33</v>
      </c>
      <c r="C70" s="94" t="s">
        <v>138</v>
      </c>
      <c r="D70" s="215">
        <v>1415440</v>
      </c>
      <c r="E70" s="207" t="s">
        <v>325</v>
      </c>
      <c r="F70" s="138" t="s">
        <v>163</v>
      </c>
    </row>
    <row r="71" spans="1:6" x14ac:dyDescent="0.25">
      <c r="A71" s="210">
        <v>63</v>
      </c>
      <c r="B71" s="221" t="s">
        <v>34</v>
      </c>
      <c r="C71" s="94" t="s">
        <v>139</v>
      </c>
      <c r="D71" s="215">
        <v>200000</v>
      </c>
      <c r="E71" s="94" t="s">
        <v>240</v>
      </c>
      <c r="F71" s="103" t="s">
        <v>241</v>
      </c>
    </row>
    <row r="72" spans="1:6" x14ac:dyDescent="0.25">
      <c r="A72" s="210">
        <v>64</v>
      </c>
      <c r="B72" s="221" t="s">
        <v>35</v>
      </c>
      <c r="C72" s="94" t="s">
        <v>140</v>
      </c>
      <c r="D72" s="215">
        <v>200000</v>
      </c>
      <c r="E72" s="94" t="s">
        <v>242</v>
      </c>
      <c r="F72" s="103" t="s">
        <v>65</v>
      </c>
    </row>
    <row r="73" spans="1:6" ht="42.75" x14ac:dyDescent="0.25">
      <c r="A73" s="210">
        <v>65</v>
      </c>
      <c r="B73" s="221" t="s">
        <v>37</v>
      </c>
      <c r="C73" s="94" t="s">
        <v>142</v>
      </c>
      <c r="D73" s="215">
        <v>181582.51</v>
      </c>
      <c r="E73" s="94" t="s">
        <v>243</v>
      </c>
      <c r="F73" s="138" t="s">
        <v>244</v>
      </c>
    </row>
    <row r="74" spans="1:6" ht="28.5" x14ac:dyDescent="0.25">
      <c r="A74" s="210">
        <v>66</v>
      </c>
      <c r="B74" s="221" t="s">
        <v>38</v>
      </c>
      <c r="C74" s="94" t="s">
        <v>143</v>
      </c>
      <c r="D74" s="215">
        <v>104351.53</v>
      </c>
      <c r="E74" s="94" t="s">
        <v>245</v>
      </c>
      <c r="F74" s="138" t="s">
        <v>244</v>
      </c>
    </row>
    <row r="75" spans="1:6" x14ac:dyDescent="0.25">
      <c r="A75" s="210">
        <v>67</v>
      </c>
      <c r="B75" s="221" t="s">
        <v>39</v>
      </c>
      <c r="C75" s="94" t="s">
        <v>144</v>
      </c>
      <c r="D75" s="215">
        <v>784704.77</v>
      </c>
      <c r="E75" s="225" t="s">
        <v>246</v>
      </c>
      <c r="F75" s="103" t="s">
        <v>210</v>
      </c>
    </row>
    <row r="76" spans="1:6" ht="28.5" x14ac:dyDescent="0.25">
      <c r="A76" s="210">
        <v>68</v>
      </c>
      <c r="B76" s="221" t="s">
        <v>40</v>
      </c>
      <c r="C76" s="94" t="s">
        <v>145</v>
      </c>
      <c r="D76" s="215">
        <v>1300000</v>
      </c>
      <c r="E76" s="176" t="s">
        <v>247</v>
      </c>
      <c r="F76" s="138" t="s">
        <v>163</v>
      </c>
    </row>
    <row r="77" spans="1:6" x14ac:dyDescent="0.25">
      <c r="A77" s="210">
        <v>69</v>
      </c>
      <c r="B77" s="221" t="s">
        <v>363</v>
      </c>
      <c r="C77" s="94" t="s">
        <v>149</v>
      </c>
      <c r="D77" s="215">
        <v>288482.51</v>
      </c>
      <c r="E77" s="221"/>
      <c r="F77" s="103" t="s">
        <v>241</v>
      </c>
    </row>
    <row r="78" spans="1:6" x14ac:dyDescent="0.25">
      <c r="A78" s="210">
        <v>70</v>
      </c>
      <c r="B78" s="221" t="s">
        <v>45</v>
      </c>
      <c r="C78" s="94" t="s">
        <v>150</v>
      </c>
      <c r="D78" s="215">
        <v>467083</v>
      </c>
      <c r="E78" s="221"/>
      <c r="F78" s="103" t="s">
        <v>241</v>
      </c>
    </row>
    <row r="79" spans="1:6" ht="28.5" x14ac:dyDescent="0.25">
      <c r="A79" s="210">
        <v>71</v>
      </c>
      <c r="B79" s="221" t="s">
        <v>46</v>
      </c>
      <c r="C79" s="94" t="s">
        <v>151</v>
      </c>
      <c r="D79" s="215">
        <v>1300000</v>
      </c>
      <c r="E79" s="94" t="s">
        <v>249</v>
      </c>
      <c r="F79" s="138" t="s">
        <v>244</v>
      </c>
    </row>
    <row r="80" spans="1:6" ht="28.5" x14ac:dyDescent="0.25">
      <c r="A80" s="210">
        <v>72</v>
      </c>
      <c r="B80" s="221" t="s">
        <v>47</v>
      </c>
      <c r="C80" s="94" t="s">
        <v>152</v>
      </c>
      <c r="D80" s="215">
        <v>1000000</v>
      </c>
      <c r="E80" s="94" t="s">
        <v>327</v>
      </c>
      <c r="F80" s="138" t="s">
        <v>244</v>
      </c>
    </row>
    <row r="81" spans="1:6" x14ac:dyDescent="0.25">
      <c r="A81" s="210">
        <v>73</v>
      </c>
      <c r="B81" s="221" t="s">
        <v>202</v>
      </c>
      <c r="C81" s="94" t="s">
        <v>203</v>
      </c>
      <c r="D81" s="215">
        <f>40969600-13000000</f>
        <v>27969600</v>
      </c>
      <c r="E81" s="176"/>
      <c r="F81" s="103" t="s">
        <v>241</v>
      </c>
    </row>
    <row r="82" spans="1:6" ht="28.5" x14ac:dyDescent="0.25">
      <c r="A82" s="210">
        <v>74</v>
      </c>
      <c r="B82" s="221" t="s">
        <v>48</v>
      </c>
      <c r="C82" s="94" t="s">
        <v>153</v>
      </c>
      <c r="D82" s="215">
        <v>3150188.07</v>
      </c>
      <c r="E82" s="129"/>
      <c r="F82" s="103" t="s">
        <v>241</v>
      </c>
    </row>
    <row r="83" spans="1:6" x14ac:dyDescent="0.25">
      <c r="A83" s="210">
        <v>75</v>
      </c>
      <c r="B83" s="289" t="s">
        <v>259</v>
      </c>
      <c r="C83" s="313" t="s">
        <v>260</v>
      </c>
      <c r="D83" s="310">
        <v>125000</v>
      </c>
      <c r="E83" s="84" t="s">
        <v>366</v>
      </c>
      <c r="F83" s="307" t="s">
        <v>64</v>
      </c>
    </row>
    <row r="84" spans="1:6" x14ac:dyDescent="0.25">
      <c r="A84" s="210">
        <v>76</v>
      </c>
      <c r="B84" s="289"/>
      <c r="C84" s="314"/>
      <c r="D84" s="311"/>
      <c r="E84" s="84" t="s">
        <v>367</v>
      </c>
      <c r="F84" s="308"/>
    </row>
    <row r="85" spans="1:6" x14ac:dyDescent="0.25">
      <c r="A85" s="210">
        <v>77</v>
      </c>
      <c r="B85" s="289"/>
      <c r="C85" s="314"/>
      <c r="D85" s="311"/>
      <c r="E85" s="84" t="s">
        <v>258</v>
      </c>
      <c r="F85" s="308"/>
    </row>
    <row r="86" spans="1:6" x14ac:dyDescent="0.25">
      <c r="A86" s="210">
        <v>78</v>
      </c>
      <c r="B86" s="289"/>
      <c r="C86" s="315"/>
      <c r="D86" s="312"/>
      <c r="E86" s="164" t="s">
        <v>268</v>
      </c>
      <c r="F86" s="309"/>
    </row>
    <row r="87" spans="1:6" s="209" customFormat="1" x14ac:dyDescent="0.25">
      <c r="D87" s="218">
        <f>SUM(D9:D86)</f>
        <v>54174304.130000003</v>
      </c>
    </row>
  </sheetData>
  <autoFilter ref="A8:F87" xr:uid="{F60220F9-8B1A-482F-A741-7958F46CC947}"/>
  <mergeCells count="48">
    <mergeCell ref="B83:B86"/>
    <mergeCell ref="C83:C86"/>
    <mergeCell ref="D83:D86"/>
    <mergeCell ref="F83:F86"/>
    <mergeCell ref="B62:B63"/>
    <mergeCell ref="C62:C63"/>
    <mergeCell ref="D62:D63"/>
    <mergeCell ref="B64:B68"/>
    <mergeCell ref="C64:C68"/>
    <mergeCell ref="D64:D68"/>
    <mergeCell ref="B53:B54"/>
    <mergeCell ref="C53:C54"/>
    <mergeCell ref="D53:D54"/>
    <mergeCell ref="B56:B61"/>
    <mergeCell ref="C56:C61"/>
    <mergeCell ref="D56:D61"/>
    <mergeCell ref="B44:B50"/>
    <mergeCell ref="C44:C50"/>
    <mergeCell ref="D44:D50"/>
    <mergeCell ref="B51:B52"/>
    <mergeCell ref="C51:C52"/>
    <mergeCell ref="D51:D52"/>
    <mergeCell ref="B39:B40"/>
    <mergeCell ref="C39:C40"/>
    <mergeCell ref="D39:D40"/>
    <mergeCell ref="F39:F40"/>
    <mergeCell ref="B41:B42"/>
    <mergeCell ref="C41:C42"/>
    <mergeCell ref="D41:D42"/>
    <mergeCell ref="B19:B22"/>
    <mergeCell ref="C19:C22"/>
    <mergeCell ref="D19:D22"/>
    <mergeCell ref="B32:B33"/>
    <mergeCell ref="C32:C33"/>
    <mergeCell ref="D32:D33"/>
    <mergeCell ref="B12:B14"/>
    <mergeCell ref="C12:C14"/>
    <mergeCell ref="D12:D14"/>
    <mergeCell ref="B16:B18"/>
    <mergeCell ref="C16:C18"/>
    <mergeCell ref="D16:D18"/>
    <mergeCell ref="A2:F2"/>
    <mergeCell ref="A3:F3"/>
    <mergeCell ref="A4:F4"/>
    <mergeCell ref="A5:F5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&amp;CPágina &amp;P de &amp;N&amp;RPAA-2019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241AE-2D23-475F-87D2-993FFC93B247}">
  <dimension ref="A2:F107"/>
  <sheetViews>
    <sheetView tabSelected="1" view="pageBreakPreview" zoomScale="60" zoomScaleNormal="100" workbookViewId="0">
      <selection activeCell="C120" sqref="C120"/>
    </sheetView>
  </sheetViews>
  <sheetFormatPr baseColWidth="10" defaultRowHeight="15" x14ac:dyDescent="0.25"/>
  <cols>
    <col min="1" max="1" width="12" bestFit="1" customWidth="1"/>
    <col min="3" max="3" width="57.7109375" customWidth="1"/>
    <col min="4" max="4" width="20.5703125" customWidth="1"/>
    <col min="5" max="5" width="45.7109375" customWidth="1"/>
    <col min="6" max="6" width="23.28515625" customWidth="1"/>
  </cols>
  <sheetData>
    <row r="2" spans="1:6" x14ac:dyDescent="0.25">
      <c r="A2" s="288" t="s">
        <v>375</v>
      </c>
      <c r="B2" s="288"/>
      <c r="C2" s="288"/>
      <c r="D2" s="288"/>
      <c r="E2" s="288"/>
      <c r="F2" s="288"/>
    </row>
    <row r="3" spans="1:6" x14ac:dyDescent="0.25">
      <c r="A3" s="288" t="s">
        <v>376</v>
      </c>
      <c r="B3" s="288"/>
      <c r="C3" s="288"/>
      <c r="D3" s="288"/>
      <c r="E3" s="288"/>
      <c r="F3" s="288"/>
    </row>
    <row r="4" spans="1:6" x14ac:dyDescent="0.25">
      <c r="A4" s="288" t="s">
        <v>377</v>
      </c>
      <c r="B4" s="288"/>
      <c r="C4" s="288"/>
      <c r="D4" s="288"/>
      <c r="E4" s="288"/>
      <c r="F4" s="288"/>
    </row>
    <row r="5" spans="1:6" x14ac:dyDescent="0.25">
      <c r="A5" s="288" t="s">
        <v>378</v>
      </c>
      <c r="B5" s="288"/>
      <c r="C5" s="288"/>
      <c r="D5" s="288"/>
      <c r="E5" s="288"/>
      <c r="F5" s="288"/>
    </row>
    <row r="8" spans="1:6" ht="30.75" customHeight="1" x14ac:dyDescent="0.25">
      <c r="A8" s="196" t="s">
        <v>374</v>
      </c>
      <c r="B8" s="196" t="s">
        <v>116</v>
      </c>
      <c r="C8" s="196" t="s">
        <v>298</v>
      </c>
      <c r="D8" s="196" t="s">
        <v>115</v>
      </c>
      <c r="E8" s="195" t="s">
        <v>299</v>
      </c>
      <c r="F8" s="196" t="s">
        <v>118</v>
      </c>
    </row>
    <row r="9" spans="1:6" ht="28.5" x14ac:dyDescent="0.25">
      <c r="A9" s="210">
        <v>1</v>
      </c>
      <c r="B9" s="202" t="s">
        <v>11</v>
      </c>
      <c r="C9" s="198" t="s">
        <v>67</v>
      </c>
      <c r="D9" s="211">
        <v>1150000</v>
      </c>
      <c r="E9" s="157" t="s">
        <v>55</v>
      </c>
      <c r="F9" s="199" t="s">
        <v>64</v>
      </c>
    </row>
    <row r="10" spans="1:6" ht="28.5" x14ac:dyDescent="0.25">
      <c r="A10" s="210">
        <v>2</v>
      </c>
      <c r="B10" s="289" t="s">
        <v>12</v>
      </c>
      <c r="C10" s="290" t="s">
        <v>68</v>
      </c>
      <c r="D10" s="292">
        <v>400000</v>
      </c>
      <c r="E10" s="200" t="s">
        <v>300</v>
      </c>
      <c r="F10" s="199" t="s">
        <v>64</v>
      </c>
    </row>
    <row r="11" spans="1:6" ht="28.5" x14ac:dyDescent="0.25">
      <c r="A11" s="210">
        <v>3</v>
      </c>
      <c r="B11" s="289"/>
      <c r="C11" s="291"/>
      <c r="D11" s="293"/>
      <c r="E11" s="200" t="s">
        <v>313</v>
      </c>
      <c r="F11" s="201" t="s">
        <v>65</v>
      </c>
    </row>
    <row r="12" spans="1:6" x14ac:dyDescent="0.25">
      <c r="A12" s="210">
        <v>4</v>
      </c>
      <c r="B12" s="294" t="s">
        <v>13</v>
      </c>
      <c r="C12" s="295" t="s">
        <v>70</v>
      </c>
      <c r="D12" s="292">
        <v>260000</v>
      </c>
      <c r="E12" s="200" t="s">
        <v>122</v>
      </c>
      <c r="F12" s="201" t="s">
        <v>65</v>
      </c>
    </row>
    <row r="13" spans="1:6" x14ac:dyDescent="0.25">
      <c r="A13" s="210">
        <v>5</v>
      </c>
      <c r="B13" s="294"/>
      <c r="C13" s="295"/>
      <c r="D13" s="296"/>
      <c r="E13" s="200" t="s">
        <v>105</v>
      </c>
      <c r="F13" s="201" t="s">
        <v>65</v>
      </c>
    </row>
    <row r="14" spans="1:6" ht="28.5" x14ac:dyDescent="0.25">
      <c r="A14" s="210">
        <v>6</v>
      </c>
      <c r="B14" s="294"/>
      <c r="C14" s="295"/>
      <c r="D14" s="293"/>
      <c r="E14" s="157" t="s">
        <v>71</v>
      </c>
      <c r="F14" s="117" t="s">
        <v>65</v>
      </c>
    </row>
    <row r="15" spans="1:6" ht="28.5" x14ac:dyDescent="0.25">
      <c r="A15" s="210">
        <v>7</v>
      </c>
      <c r="B15" s="202" t="s">
        <v>14</v>
      </c>
      <c r="C15" s="114" t="s">
        <v>72</v>
      </c>
      <c r="D15" s="212">
        <v>15000</v>
      </c>
      <c r="E15" s="157" t="s">
        <v>125</v>
      </c>
      <c r="F15" s="203" t="s">
        <v>73</v>
      </c>
    </row>
    <row r="16" spans="1:6" x14ac:dyDescent="0.25">
      <c r="A16" s="210">
        <v>8</v>
      </c>
      <c r="B16" s="289" t="s">
        <v>15</v>
      </c>
      <c r="C16" s="297" t="s">
        <v>314</v>
      </c>
      <c r="D16" s="300">
        <v>1250000</v>
      </c>
      <c r="E16" s="157" t="s">
        <v>75</v>
      </c>
      <c r="F16" s="201" t="s">
        <v>65</v>
      </c>
    </row>
    <row r="17" spans="1:6" x14ac:dyDescent="0.25">
      <c r="A17" s="210">
        <v>9</v>
      </c>
      <c r="B17" s="289"/>
      <c r="C17" s="298"/>
      <c r="D17" s="301"/>
      <c r="E17" s="157" t="s">
        <v>215</v>
      </c>
      <c r="F17" s="201"/>
    </row>
    <row r="18" spans="1:6" x14ac:dyDescent="0.25">
      <c r="A18" s="210">
        <v>10</v>
      </c>
      <c r="B18" s="289"/>
      <c r="C18" s="299"/>
      <c r="D18" s="302"/>
      <c r="E18" s="157" t="s">
        <v>76</v>
      </c>
      <c r="F18" s="201" t="s">
        <v>65</v>
      </c>
    </row>
    <row r="19" spans="1:6" x14ac:dyDescent="0.25">
      <c r="A19" s="210">
        <v>11</v>
      </c>
      <c r="B19" s="289" t="s">
        <v>16</v>
      </c>
      <c r="C19" s="297" t="s">
        <v>77</v>
      </c>
      <c r="D19" s="292">
        <v>58000</v>
      </c>
      <c r="E19" s="157" t="s">
        <v>126</v>
      </c>
      <c r="F19" s="203" t="s">
        <v>73</v>
      </c>
    </row>
    <row r="20" spans="1:6" ht="28.5" x14ac:dyDescent="0.25">
      <c r="A20" s="210">
        <v>12</v>
      </c>
      <c r="B20" s="289"/>
      <c r="C20" s="298"/>
      <c r="D20" s="296"/>
      <c r="E20" s="157" t="s">
        <v>216</v>
      </c>
      <c r="F20" s="203" t="s">
        <v>73</v>
      </c>
    </row>
    <row r="21" spans="1:6" x14ac:dyDescent="0.25">
      <c r="A21" s="210">
        <v>13</v>
      </c>
      <c r="B21" s="289"/>
      <c r="C21" s="298"/>
      <c r="D21" s="296"/>
      <c r="E21" s="157" t="s">
        <v>315</v>
      </c>
      <c r="F21" s="203"/>
    </row>
    <row r="22" spans="1:6" x14ac:dyDescent="0.25">
      <c r="A22" s="210">
        <v>14</v>
      </c>
      <c r="B22" s="289"/>
      <c r="C22" s="299"/>
      <c r="D22" s="293"/>
      <c r="E22" s="157" t="s">
        <v>362</v>
      </c>
      <c r="F22" s="203" t="s">
        <v>73</v>
      </c>
    </row>
    <row r="23" spans="1:6" ht="28.5" x14ac:dyDescent="0.25">
      <c r="A23" s="210">
        <v>15</v>
      </c>
      <c r="B23" s="83" t="s">
        <v>78</v>
      </c>
      <c r="C23" s="141" t="s">
        <v>79</v>
      </c>
      <c r="D23" s="213">
        <v>500000</v>
      </c>
      <c r="E23" s="157" t="s">
        <v>80</v>
      </c>
      <c r="F23" s="203" t="s">
        <v>64</v>
      </c>
    </row>
    <row r="24" spans="1:6" x14ac:dyDescent="0.25">
      <c r="A24" s="210">
        <v>16</v>
      </c>
      <c r="B24" s="83" t="s">
        <v>81</v>
      </c>
      <c r="C24" s="114" t="s">
        <v>82</v>
      </c>
      <c r="D24" s="212">
        <v>145000</v>
      </c>
      <c r="E24" s="157" t="s">
        <v>316</v>
      </c>
      <c r="F24" s="203" t="s">
        <v>65</v>
      </c>
    </row>
    <row r="25" spans="1:6" x14ac:dyDescent="0.25">
      <c r="A25" s="210">
        <v>17</v>
      </c>
      <c r="B25" s="83" t="s">
        <v>83</v>
      </c>
      <c r="C25" s="114" t="s">
        <v>84</v>
      </c>
      <c r="D25" s="212">
        <v>125000</v>
      </c>
      <c r="E25" s="157" t="s">
        <v>85</v>
      </c>
      <c r="F25" s="203" t="s">
        <v>65</v>
      </c>
    </row>
    <row r="26" spans="1:6" ht="28.5" x14ac:dyDescent="0.25">
      <c r="A26" s="210">
        <v>18</v>
      </c>
      <c r="B26" s="83" t="s">
        <v>17</v>
      </c>
      <c r="C26" s="114" t="s">
        <v>87</v>
      </c>
      <c r="D26" s="212">
        <v>375000</v>
      </c>
      <c r="E26" s="204" t="s">
        <v>88</v>
      </c>
      <c r="F26" s="203" t="s">
        <v>64</v>
      </c>
    </row>
    <row r="27" spans="1:6" ht="28.5" x14ac:dyDescent="0.25">
      <c r="A27" s="210">
        <v>19</v>
      </c>
      <c r="B27" s="83" t="s">
        <v>18</v>
      </c>
      <c r="C27" s="114" t="s">
        <v>89</v>
      </c>
      <c r="D27" s="212">
        <v>205000</v>
      </c>
      <c r="E27" s="157" t="s">
        <v>90</v>
      </c>
      <c r="F27" s="117" t="s">
        <v>65</v>
      </c>
    </row>
    <row r="28" spans="1:6" x14ac:dyDescent="0.25">
      <c r="A28" s="210">
        <v>20</v>
      </c>
      <c r="B28" s="205" t="s">
        <v>19</v>
      </c>
      <c r="C28" s="203" t="s">
        <v>99</v>
      </c>
      <c r="D28" s="214">
        <v>390000</v>
      </c>
      <c r="E28" s="157" t="s">
        <v>318</v>
      </c>
      <c r="F28" s="203" t="s">
        <v>65</v>
      </c>
    </row>
    <row r="29" spans="1:6" ht="28.5" x14ac:dyDescent="0.25">
      <c r="A29" s="210">
        <v>21</v>
      </c>
      <c r="B29" s="83" t="s">
        <v>20</v>
      </c>
      <c r="C29" s="114" t="s">
        <v>92</v>
      </c>
      <c r="D29" s="212">
        <v>230000</v>
      </c>
      <c r="E29" s="157" t="s">
        <v>218</v>
      </c>
      <c r="F29" s="117" t="s">
        <v>65</v>
      </c>
    </row>
    <row r="30" spans="1:6" ht="28.5" x14ac:dyDescent="0.25">
      <c r="A30" s="210">
        <v>22</v>
      </c>
      <c r="B30" s="83" t="s">
        <v>93</v>
      </c>
      <c r="C30" s="114" t="s">
        <v>94</v>
      </c>
      <c r="D30" s="212">
        <v>350000</v>
      </c>
      <c r="E30" s="157" t="s">
        <v>319</v>
      </c>
      <c r="F30" s="117" t="s">
        <v>65</v>
      </c>
    </row>
    <row r="31" spans="1:6" ht="28.5" x14ac:dyDescent="0.25">
      <c r="A31" s="210">
        <v>23</v>
      </c>
      <c r="B31" s="83" t="s">
        <v>96</v>
      </c>
      <c r="C31" s="114" t="s">
        <v>97</v>
      </c>
      <c r="D31" s="212">
        <v>150000</v>
      </c>
      <c r="E31" s="157" t="s">
        <v>98</v>
      </c>
      <c r="F31" s="117" t="s">
        <v>65</v>
      </c>
    </row>
    <row r="32" spans="1:6" x14ac:dyDescent="0.25">
      <c r="A32" s="210">
        <v>24</v>
      </c>
      <c r="B32" s="289" t="s">
        <v>100</v>
      </c>
      <c r="C32" s="303" t="s">
        <v>101</v>
      </c>
      <c r="D32" s="305">
        <v>275200</v>
      </c>
      <c r="E32" s="135" t="s">
        <v>102</v>
      </c>
      <c r="F32" s="117" t="s">
        <v>65</v>
      </c>
    </row>
    <row r="33" spans="1:6" x14ac:dyDescent="0.25">
      <c r="A33" s="210">
        <v>25</v>
      </c>
      <c r="B33" s="289"/>
      <c r="C33" s="304"/>
      <c r="D33" s="306"/>
      <c r="E33" s="135" t="s">
        <v>103</v>
      </c>
      <c r="F33" s="117" t="s">
        <v>65</v>
      </c>
    </row>
    <row r="34" spans="1:6" ht="28.5" x14ac:dyDescent="0.25">
      <c r="A34" s="210">
        <v>26</v>
      </c>
      <c r="B34" s="83" t="s">
        <v>21</v>
      </c>
      <c r="C34" s="114" t="s">
        <v>104</v>
      </c>
      <c r="D34" s="212">
        <v>150000</v>
      </c>
      <c r="E34" s="157" t="s">
        <v>320</v>
      </c>
      <c r="F34" s="117" t="s">
        <v>65</v>
      </c>
    </row>
    <row r="35" spans="1:6" ht="28.5" x14ac:dyDescent="0.25">
      <c r="A35" s="210">
        <v>27</v>
      </c>
      <c r="B35" s="83" t="s">
        <v>22</v>
      </c>
      <c r="C35" s="114" t="s">
        <v>106</v>
      </c>
      <c r="D35" s="212">
        <v>80000</v>
      </c>
      <c r="E35" s="157" t="s">
        <v>321</v>
      </c>
      <c r="F35" s="117" t="s">
        <v>65</v>
      </c>
    </row>
    <row r="36" spans="1:6" ht="28.5" x14ac:dyDescent="0.25">
      <c r="A36" s="210">
        <v>28</v>
      </c>
      <c r="B36" s="83" t="s">
        <v>108</v>
      </c>
      <c r="C36" s="114" t="s">
        <v>109</v>
      </c>
      <c r="D36" s="212">
        <v>20000</v>
      </c>
      <c r="E36" s="157" t="s">
        <v>110</v>
      </c>
      <c r="F36" s="117" t="s">
        <v>65</v>
      </c>
    </row>
    <row r="37" spans="1:6" ht="42.75" x14ac:dyDescent="0.25">
      <c r="A37" s="210">
        <v>29</v>
      </c>
      <c r="B37" s="83" t="s">
        <v>23</v>
      </c>
      <c r="C37" s="114" t="s">
        <v>111</v>
      </c>
      <c r="D37" s="212">
        <v>20000</v>
      </c>
      <c r="E37" s="157" t="s">
        <v>322</v>
      </c>
      <c r="F37" s="117" t="s">
        <v>65</v>
      </c>
    </row>
    <row r="38" spans="1:6" ht="28.5" x14ac:dyDescent="0.25">
      <c r="A38" s="210">
        <v>30</v>
      </c>
      <c r="B38" s="83" t="s">
        <v>113</v>
      </c>
      <c r="C38" s="114" t="s">
        <v>114</v>
      </c>
      <c r="D38" s="212">
        <v>50000</v>
      </c>
      <c r="E38" s="157" t="s">
        <v>323</v>
      </c>
      <c r="F38" s="117" t="s">
        <v>65</v>
      </c>
    </row>
    <row r="39" spans="1:6" ht="28.5" x14ac:dyDescent="0.25">
      <c r="A39" s="210">
        <v>31</v>
      </c>
      <c r="B39" s="289" t="s">
        <v>24</v>
      </c>
      <c r="C39" s="297" t="s">
        <v>131</v>
      </c>
      <c r="D39" s="292">
        <v>580692.75</v>
      </c>
      <c r="E39" s="94" t="s">
        <v>166</v>
      </c>
      <c r="F39" s="297" t="s">
        <v>73</v>
      </c>
    </row>
    <row r="40" spans="1:6" ht="28.5" x14ac:dyDescent="0.25">
      <c r="A40" s="210">
        <v>32</v>
      </c>
      <c r="B40" s="289"/>
      <c r="C40" s="299"/>
      <c r="D40" s="293"/>
      <c r="E40" s="141" t="s">
        <v>167</v>
      </c>
      <c r="F40" s="299"/>
    </row>
    <row r="41" spans="1:6" ht="28.5" x14ac:dyDescent="0.25">
      <c r="A41" s="210">
        <v>33</v>
      </c>
      <c r="B41" s="289" t="s">
        <v>25</v>
      </c>
      <c r="C41" s="297" t="s">
        <v>132</v>
      </c>
      <c r="D41" s="292">
        <v>129647.04000000001</v>
      </c>
      <c r="E41" s="94" t="s">
        <v>162</v>
      </c>
      <c r="F41" s="141" t="s">
        <v>73</v>
      </c>
    </row>
    <row r="42" spans="1:6" x14ac:dyDescent="0.25">
      <c r="A42" s="210">
        <v>34</v>
      </c>
      <c r="B42" s="289"/>
      <c r="C42" s="299"/>
      <c r="D42" s="293"/>
      <c r="E42" s="94" t="s">
        <v>200</v>
      </c>
      <c r="F42" s="141" t="s">
        <v>65</v>
      </c>
    </row>
    <row r="43" spans="1:6" ht="28.5" x14ac:dyDescent="0.25">
      <c r="A43" s="210">
        <v>35</v>
      </c>
      <c r="B43" s="83" t="s">
        <v>26</v>
      </c>
      <c r="C43" s="94" t="s">
        <v>133</v>
      </c>
      <c r="D43" s="215">
        <v>1400000</v>
      </c>
      <c r="E43" s="94" t="s">
        <v>171</v>
      </c>
      <c r="F43" s="141" t="s">
        <v>163</v>
      </c>
    </row>
    <row r="44" spans="1:6" ht="28.5" customHeight="1" x14ac:dyDescent="0.25">
      <c r="A44" s="210">
        <v>36</v>
      </c>
      <c r="B44" s="289" t="s">
        <v>164</v>
      </c>
      <c r="C44" s="307" t="s">
        <v>165</v>
      </c>
      <c r="D44" s="310">
        <v>1280000</v>
      </c>
      <c r="E44" s="94" t="s">
        <v>168</v>
      </c>
      <c r="F44" s="141" t="s">
        <v>65</v>
      </c>
    </row>
    <row r="45" spans="1:6" x14ac:dyDescent="0.25">
      <c r="A45" s="210">
        <v>37</v>
      </c>
      <c r="B45" s="289"/>
      <c r="C45" s="308"/>
      <c r="D45" s="311"/>
      <c r="E45" s="94" t="s">
        <v>173</v>
      </c>
      <c r="F45" s="141" t="s">
        <v>65</v>
      </c>
    </row>
    <row r="46" spans="1:6" x14ac:dyDescent="0.25">
      <c r="A46" s="210">
        <v>38</v>
      </c>
      <c r="B46" s="289"/>
      <c r="C46" s="308"/>
      <c r="D46" s="311"/>
      <c r="E46" s="94" t="s">
        <v>174</v>
      </c>
      <c r="F46" s="141" t="s">
        <v>65</v>
      </c>
    </row>
    <row r="47" spans="1:6" x14ac:dyDescent="0.25">
      <c r="A47" s="210">
        <v>39</v>
      </c>
      <c r="B47" s="289"/>
      <c r="C47" s="308"/>
      <c r="D47" s="311"/>
      <c r="E47" s="94" t="s">
        <v>172</v>
      </c>
      <c r="F47" s="141" t="s">
        <v>210</v>
      </c>
    </row>
    <row r="48" spans="1:6" x14ac:dyDescent="0.25">
      <c r="A48" s="210">
        <v>40</v>
      </c>
      <c r="B48" s="289"/>
      <c r="C48" s="308"/>
      <c r="D48" s="311"/>
      <c r="E48" s="94" t="s">
        <v>175</v>
      </c>
      <c r="F48" s="141" t="s">
        <v>210</v>
      </c>
    </row>
    <row r="49" spans="1:6" x14ac:dyDescent="0.25">
      <c r="A49" s="210">
        <v>41</v>
      </c>
      <c r="B49" s="289"/>
      <c r="C49" s="308"/>
      <c r="D49" s="311"/>
      <c r="E49" s="94" t="s">
        <v>223</v>
      </c>
      <c r="F49" s="141" t="s">
        <v>73</v>
      </c>
    </row>
    <row r="50" spans="1:6" x14ac:dyDescent="0.25">
      <c r="A50" s="210">
        <v>42</v>
      </c>
      <c r="B50" s="289"/>
      <c r="C50" s="309"/>
      <c r="D50" s="312"/>
      <c r="E50" s="94" t="s">
        <v>176</v>
      </c>
      <c r="F50" s="141" t="s">
        <v>65</v>
      </c>
    </row>
    <row r="51" spans="1:6" x14ac:dyDescent="0.25">
      <c r="A51" s="210">
        <v>43</v>
      </c>
      <c r="B51" s="289" t="s">
        <v>27</v>
      </c>
      <c r="C51" s="297" t="s">
        <v>134</v>
      </c>
      <c r="D51" s="292">
        <v>291211.95</v>
      </c>
      <c r="E51" s="94" t="s">
        <v>178</v>
      </c>
      <c r="F51" s="103"/>
    </row>
    <row r="52" spans="1:6" ht="28.5" x14ac:dyDescent="0.25">
      <c r="A52" s="210">
        <v>44</v>
      </c>
      <c r="B52" s="289"/>
      <c r="C52" s="299"/>
      <c r="D52" s="293"/>
      <c r="E52" s="94" t="s">
        <v>179</v>
      </c>
      <c r="F52" s="103"/>
    </row>
    <row r="53" spans="1:6" ht="28.5" x14ac:dyDescent="0.25">
      <c r="A53" s="210">
        <v>45</v>
      </c>
      <c r="B53" s="289" t="s">
        <v>184</v>
      </c>
      <c r="C53" s="297" t="s">
        <v>185</v>
      </c>
      <c r="D53" s="292">
        <v>1140000</v>
      </c>
      <c r="E53" s="94" t="s">
        <v>186</v>
      </c>
      <c r="F53" s="103" t="s">
        <v>210</v>
      </c>
    </row>
    <row r="54" spans="1:6" x14ac:dyDescent="0.25">
      <c r="A54" s="210">
        <v>46</v>
      </c>
      <c r="B54" s="289"/>
      <c r="C54" s="299"/>
      <c r="D54" s="293"/>
      <c r="E54" s="94" t="s">
        <v>187</v>
      </c>
      <c r="F54" s="103" t="s">
        <v>65</v>
      </c>
    </row>
    <row r="55" spans="1:6" ht="28.5" x14ac:dyDescent="0.25">
      <c r="A55" s="210">
        <v>47</v>
      </c>
      <c r="B55" s="83" t="s">
        <v>180</v>
      </c>
      <c r="C55" s="94" t="s">
        <v>181</v>
      </c>
      <c r="D55" s="216">
        <v>120000</v>
      </c>
      <c r="E55" s="94" t="s">
        <v>182</v>
      </c>
      <c r="F55" s="103" t="s">
        <v>65</v>
      </c>
    </row>
    <row r="56" spans="1:6" x14ac:dyDescent="0.25">
      <c r="A56" s="210">
        <v>48</v>
      </c>
      <c r="B56" s="289" t="s">
        <v>188</v>
      </c>
      <c r="C56" s="307" t="s">
        <v>189</v>
      </c>
      <c r="D56" s="310">
        <v>1034080</v>
      </c>
      <c r="E56" s="94" t="s">
        <v>190</v>
      </c>
      <c r="F56" s="103" t="s">
        <v>65</v>
      </c>
    </row>
    <row r="57" spans="1:6" x14ac:dyDescent="0.25">
      <c r="A57" s="210">
        <v>49</v>
      </c>
      <c r="B57" s="289"/>
      <c r="C57" s="308"/>
      <c r="D57" s="311"/>
      <c r="E57" s="94" t="s">
        <v>211</v>
      </c>
      <c r="F57" s="103" t="s">
        <v>65</v>
      </c>
    </row>
    <row r="58" spans="1:6" x14ac:dyDescent="0.25">
      <c r="A58" s="210">
        <v>50</v>
      </c>
      <c r="B58" s="289"/>
      <c r="C58" s="308"/>
      <c r="D58" s="311"/>
      <c r="E58" s="94" t="s">
        <v>199</v>
      </c>
      <c r="F58" s="103" t="s">
        <v>73</v>
      </c>
    </row>
    <row r="59" spans="1:6" x14ac:dyDescent="0.25">
      <c r="A59" s="210">
        <v>51</v>
      </c>
      <c r="B59" s="289"/>
      <c r="C59" s="308"/>
      <c r="D59" s="311"/>
      <c r="E59" s="94" t="s">
        <v>214</v>
      </c>
      <c r="F59" s="103" t="s">
        <v>65</v>
      </c>
    </row>
    <row r="60" spans="1:6" ht="28.5" x14ac:dyDescent="0.25">
      <c r="A60" s="210">
        <v>52</v>
      </c>
      <c r="B60" s="289"/>
      <c r="C60" s="308"/>
      <c r="D60" s="311"/>
      <c r="E60" s="94" t="s">
        <v>220</v>
      </c>
      <c r="F60" s="103" t="s">
        <v>65</v>
      </c>
    </row>
    <row r="61" spans="1:6" x14ac:dyDescent="0.25">
      <c r="A61" s="210">
        <v>53</v>
      </c>
      <c r="B61" s="289"/>
      <c r="C61" s="309"/>
      <c r="D61" s="312"/>
      <c r="E61" s="94" t="s">
        <v>219</v>
      </c>
      <c r="F61" s="138" t="s">
        <v>73</v>
      </c>
    </row>
    <row r="62" spans="1:6" x14ac:dyDescent="0.25">
      <c r="A62" s="210">
        <v>54</v>
      </c>
      <c r="B62" s="289" t="s">
        <v>28</v>
      </c>
      <c r="C62" s="298" t="s">
        <v>193</v>
      </c>
      <c r="D62" s="292">
        <v>629040</v>
      </c>
      <c r="E62" s="94" t="s">
        <v>191</v>
      </c>
      <c r="F62" s="138" t="s">
        <v>73</v>
      </c>
    </row>
    <row r="63" spans="1:6" x14ac:dyDescent="0.25">
      <c r="A63" s="210">
        <v>55</v>
      </c>
      <c r="B63" s="289"/>
      <c r="C63" s="299"/>
      <c r="D63" s="293"/>
      <c r="E63" s="94" t="s">
        <v>192</v>
      </c>
      <c r="F63" s="138" t="s">
        <v>73</v>
      </c>
    </row>
    <row r="64" spans="1:6" x14ac:dyDescent="0.25">
      <c r="A64" s="210">
        <v>56</v>
      </c>
      <c r="B64" s="289" t="s">
        <v>29</v>
      </c>
      <c r="C64" s="307" t="s">
        <v>135</v>
      </c>
      <c r="D64" s="310">
        <v>2470000</v>
      </c>
      <c r="E64" s="94" t="s">
        <v>195</v>
      </c>
      <c r="F64" s="103" t="s">
        <v>210</v>
      </c>
    </row>
    <row r="65" spans="1:6" x14ac:dyDescent="0.25">
      <c r="A65" s="210">
        <v>57</v>
      </c>
      <c r="B65" s="289"/>
      <c r="C65" s="308"/>
      <c r="D65" s="311"/>
      <c r="E65" s="94" t="s">
        <v>212</v>
      </c>
      <c r="F65" s="103" t="s">
        <v>210</v>
      </c>
    </row>
    <row r="66" spans="1:6" ht="28.5" x14ac:dyDescent="0.25">
      <c r="A66" s="210">
        <v>58</v>
      </c>
      <c r="B66" s="289"/>
      <c r="C66" s="308"/>
      <c r="D66" s="311"/>
      <c r="E66" s="94" t="s">
        <v>213</v>
      </c>
      <c r="F66" s="103" t="s">
        <v>210</v>
      </c>
    </row>
    <row r="67" spans="1:6" x14ac:dyDescent="0.25">
      <c r="A67" s="210">
        <v>59</v>
      </c>
      <c r="B67" s="289"/>
      <c r="C67" s="308"/>
      <c r="D67" s="311"/>
      <c r="E67" s="94" t="s">
        <v>194</v>
      </c>
      <c r="F67" s="103" t="s">
        <v>210</v>
      </c>
    </row>
    <row r="68" spans="1:6" x14ac:dyDescent="0.25">
      <c r="A68" s="210">
        <v>60</v>
      </c>
      <c r="B68" s="289"/>
      <c r="C68" s="309"/>
      <c r="D68" s="312"/>
      <c r="E68" s="94" t="s">
        <v>201</v>
      </c>
      <c r="F68" s="103" t="s">
        <v>65</v>
      </c>
    </row>
    <row r="69" spans="1:6" ht="28.5" x14ac:dyDescent="0.25">
      <c r="A69" s="210">
        <v>61</v>
      </c>
      <c r="B69" s="83" t="s">
        <v>224</v>
      </c>
      <c r="C69" s="94" t="s">
        <v>225</v>
      </c>
      <c r="D69" s="215">
        <v>400000</v>
      </c>
      <c r="E69" s="94" t="s">
        <v>238</v>
      </c>
      <c r="F69" s="103" t="s">
        <v>210</v>
      </c>
    </row>
    <row r="70" spans="1:6" ht="28.5" x14ac:dyDescent="0.25">
      <c r="A70" s="210">
        <v>62</v>
      </c>
      <c r="B70" s="289" t="s">
        <v>30</v>
      </c>
      <c r="C70" s="307" t="s">
        <v>136</v>
      </c>
      <c r="D70" s="310">
        <v>21878196.819999997</v>
      </c>
      <c r="E70" s="94" t="s">
        <v>368</v>
      </c>
      <c r="F70" s="206" t="s">
        <v>196</v>
      </c>
    </row>
    <row r="71" spans="1:6" x14ac:dyDescent="0.25">
      <c r="A71" s="210">
        <v>63</v>
      </c>
      <c r="B71" s="289"/>
      <c r="C71" s="308"/>
      <c r="D71" s="311"/>
      <c r="E71" s="94" t="s">
        <v>369</v>
      </c>
      <c r="F71" s="206"/>
    </row>
    <row r="72" spans="1:6" ht="28.5" x14ac:dyDescent="0.25">
      <c r="A72" s="210">
        <v>64</v>
      </c>
      <c r="B72" s="289"/>
      <c r="C72" s="309"/>
      <c r="D72" s="312"/>
      <c r="E72" s="94" t="s">
        <v>364</v>
      </c>
      <c r="F72" s="138" t="s">
        <v>198</v>
      </c>
    </row>
    <row r="73" spans="1:6" x14ac:dyDescent="0.25">
      <c r="A73" s="210">
        <v>65</v>
      </c>
      <c r="B73" s="83" t="s">
        <v>31</v>
      </c>
      <c r="C73" s="94" t="s">
        <v>137</v>
      </c>
      <c r="D73" s="215">
        <v>900000</v>
      </c>
      <c r="E73" s="94" t="s">
        <v>324</v>
      </c>
      <c r="F73" s="138" t="s">
        <v>239</v>
      </c>
    </row>
    <row r="74" spans="1:6" x14ac:dyDescent="0.25">
      <c r="A74" s="210">
        <v>66</v>
      </c>
      <c r="B74" s="83" t="s">
        <v>32</v>
      </c>
      <c r="C74" s="94" t="s">
        <v>226</v>
      </c>
      <c r="D74" s="215">
        <v>10768344.960000001</v>
      </c>
      <c r="E74" s="94" t="s">
        <v>351</v>
      </c>
      <c r="F74" s="138"/>
    </row>
    <row r="75" spans="1:6" x14ac:dyDescent="0.25">
      <c r="A75" s="210">
        <v>67</v>
      </c>
      <c r="B75" s="83" t="s">
        <v>205</v>
      </c>
      <c r="C75" s="94" t="s">
        <v>206</v>
      </c>
      <c r="D75" s="217">
        <v>415000</v>
      </c>
      <c r="E75" s="94" t="s">
        <v>207</v>
      </c>
      <c r="F75" s="138" t="s">
        <v>73</v>
      </c>
    </row>
    <row r="76" spans="1:6" ht="28.5" x14ac:dyDescent="0.25">
      <c r="A76" s="210">
        <v>68</v>
      </c>
      <c r="B76" s="83" t="s">
        <v>33</v>
      </c>
      <c r="C76" s="94" t="s">
        <v>138</v>
      </c>
      <c r="D76" s="215">
        <v>1415440</v>
      </c>
      <c r="E76" s="207" t="s">
        <v>325</v>
      </c>
      <c r="F76" s="138" t="s">
        <v>163</v>
      </c>
    </row>
    <row r="77" spans="1:6" x14ac:dyDescent="0.25">
      <c r="A77" s="210">
        <v>69</v>
      </c>
      <c r="B77" s="83" t="s">
        <v>34</v>
      </c>
      <c r="C77" s="94" t="s">
        <v>139</v>
      </c>
      <c r="D77" s="215">
        <v>200000</v>
      </c>
      <c r="E77" s="94" t="s">
        <v>240</v>
      </c>
      <c r="F77" s="103" t="s">
        <v>241</v>
      </c>
    </row>
    <row r="78" spans="1:6" x14ac:dyDescent="0.25">
      <c r="A78" s="210">
        <v>70</v>
      </c>
      <c r="B78" s="83" t="s">
        <v>35</v>
      </c>
      <c r="C78" s="94" t="s">
        <v>140</v>
      </c>
      <c r="D78" s="215">
        <v>200000</v>
      </c>
      <c r="E78" s="94" t="s">
        <v>242</v>
      </c>
      <c r="F78" s="103" t="s">
        <v>65</v>
      </c>
    </row>
    <row r="79" spans="1:6" ht="28.5" x14ac:dyDescent="0.25">
      <c r="A79" s="210">
        <v>71</v>
      </c>
      <c r="B79" s="83" t="s">
        <v>36</v>
      </c>
      <c r="C79" s="94" t="s">
        <v>141</v>
      </c>
      <c r="D79" s="215">
        <v>12282800</v>
      </c>
      <c r="E79" s="94" t="s">
        <v>329</v>
      </c>
      <c r="F79" s="138" t="s">
        <v>163</v>
      </c>
    </row>
    <row r="80" spans="1:6" ht="42.75" x14ac:dyDescent="0.25">
      <c r="A80" s="210">
        <v>72</v>
      </c>
      <c r="B80" s="83" t="s">
        <v>37</v>
      </c>
      <c r="C80" s="94" t="s">
        <v>142</v>
      </c>
      <c r="D80" s="215">
        <v>181582.51</v>
      </c>
      <c r="E80" s="94" t="s">
        <v>243</v>
      </c>
      <c r="F80" s="138" t="s">
        <v>244</v>
      </c>
    </row>
    <row r="81" spans="1:6" ht="28.5" x14ac:dyDescent="0.25">
      <c r="A81" s="210">
        <v>73</v>
      </c>
      <c r="B81" s="83" t="s">
        <v>38</v>
      </c>
      <c r="C81" s="94" t="s">
        <v>143</v>
      </c>
      <c r="D81" s="215">
        <v>104351.53</v>
      </c>
      <c r="E81" s="94" t="s">
        <v>245</v>
      </c>
      <c r="F81" s="138" t="s">
        <v>244</v>
      </c>
    </row>
    <row r="82" spans="1:6" x14ac:dyDescent="0.25">
      <c r="A82" s="210">
        <v>74</v>
      </c>
      <c r="B82" s="83" t="s">
        <v>39</v>
      </c>
      <c r="C82" s="94" t="s">
        <v>144</v>
      </c>
      <c r="D82" s="215">
        <v>784704.77</v>
      </c>
      <c r="E82" s="203" t="s">
        <v>246</v>
      </c>
      <c r="F82" s="103" t="s">
        <v>210</v>
      </c>
    </row>
    <row r="83" spans="1:6" ht="28.5" x14ac:dyDescent="0.25">
      <c r="A83" s="210">
        <v>75</v>
      </c>
      <c r="B83" s="83" t="s">
        <v>40</v>
      </c>
      <c r="C83" s="94" t="s">
        <v>145</v>
      </c>
      <c r="D83" s="215">
        <v>1300000</v>
      </c>
      <c r="E83" s="176" t="s">
        <v>247</v>
      </c>
      <c r="F83" s="138" t="s">
        <v>163</v>
      </c>
    </row>
    <row r="84" spans="1:6" ht="28.5" x14ac:dyDescent="0.25">
      <c r="A84" s="210">
        <v>76</v>
      </c>
      <c r="B84" s="83" t="s">
        <v>41</v>
      </c>
      <c r="C84" s="94" t="s">
        <v>146</v>
      </c>
      <c r="D84" s="215">
        <v>9270000</v>
      </c>
      <c r="E84" s="208" t="s">
        <v>326</v>
      </c>
      <c r="F84" s="206" t="s">
        <v>248</v>
      </c>
    </row>
    <row r="85" spans="1:6" ht="28.5" x14ac:dyDescent="0.25">
      <c r="A85" s="210">
        <v>77</v>
      </c>
      <c r="B85" s="83" t="s">
        <v>42</v>
      </c>
      <c r="C85" s="94" t="s">
        <v>147</v>
      </c>
      <c r="D85" s="215">
        <v>1000000</v>
      </c>
      <c r="E85" s="208" t="s">
        <v>326</v>
      </c>
      <c r="F85" s="103"/>
    </row>
    <row r="86" spans="1:6" x14ac:dyDescent="0.25">
      <c r="A86" s="210">
        <v>78</v>
      </c>
      <c r="B86" s="83" t="s">
        <v>331</v>
      </c>
      <c r="C86" s="94" t="s">
        <v>334</v>
      </c>
      <c r="D86" s="215">
        <v>100000</v>
      </c>
      <c r="E86" s="208" t="s">
        <v>326</v>
      </c>
      <c r="F86" s="103"/>
    </row>
    <row r="87" spans="1:6" x14ac:dyDescent="0.25">
      <c r="A87" s="210">
        <v>79</v>
      </c>
      <c r="B87" s="83" t="s">
        <v>332</v>
      </c>
      <c r="C87" s="94" t="s">
        <v>335</v>
      </c>
      <c r="D87" s="215">
        <v>530000</v>
      </c>
      <c r="E87" s="208" t="s">
        <v>326</v>
      </c>
      <c r="F87" s="103"/>
    </row>
    <row r="88" spans="1:6" ht="28.5" x14ac:dyDescent="0.25">
      <c r="A88" s="210">
        <v>80</v>
      </c>
      <c r="B88" s="83" t="s">
        <v>333</v>
      </c>
      <c r="C88" s="94" t="s">
        <v>336</v>
      </c>
      <c r="D88" s="215">
        <v>1000000</v>
      </c>
      <c r="E88" s="208" t="s">
        <v>326</v>
      </c>
      <c r="F88" s="103"/>
    </row>
    <row r="89" spans="1:6" x14ac:dyDescent="0.25">
      <c r="A89" s="210">
        <v>81</v>
      </c>
      <c r="B89" s="83" t="s">
        <v>43</v>
      </c>
      <c r="C89" s="94" t="s">
        <v>148</v>
      </c>
      <c r="D89" s="215">
        <v>300000</v>
      </c>
      <c r="E89" s="208" t="s">
        <v>326</v>
      </c>
      <c r="F89" s="103"/>
    </row>
    <row r="90" spans="1:6" x14ac:dyDescent="0.25">
      <c r="A90" s="210">
        <v>82</v>
      </c>
      <c r="B90" s="83" t="s">
        <v>363</v>
      </c>
      <c r="C90" s="94" t="s">
        <v>149</v>
      </c>
      <c r="D90" s="215">
        <v>288482.51</v>
      </c>
      <c r="E90" s="83"/>
      <c r="F90" s="103" t="s">
        <v>241</v>
      </c>
    </row>
    <row r="91" spans="1:6" x14ac:dyDescent="0.25">
      <c r="A91" s="210">
        <v>83</v>
      </c>
      <c r="B91" s="83" t="s">
        <v>45</v>
      </c>
      <c r="C91" s="94" t="s">
        <v>150</v>
      </c>
      <c r="D91" s="215">
        <v>467083</v>
      </c>
      <c r="E91" s="83"/>
      <c r="F91" s="103" t="s">
        <v>241</v>
      </c>
    </row>
    <row r="92" spans="1:6" ht="28.5" x14ac:dyDescent="0.25">
      <c r="A92" s="210">
        <v>84</v>
      </c>
      <c r="B92" s="83" t="s">
        <v>46</v>
      </c>
      <c r="C92" s="94" t="s">
        <v>151</v>
      </c>
      <c r="D92" s="215">
        <v>1300000</v>
      </c>
      <c r="E92" s="94" t="s">
        <v>249</v>
      </c>
      <c r="F92" s="138" t="s">
        <v>244</v>
      </c>
    </row>
    <row r="93" spans="1:6" ht="28.5" x14ac:dyDescent="0.25">
      <c r="A93" s="210">
        <v>85</v>
      </c>
      <c r="B93" s="83" t="s">
        <v>47</v>
      </c>
      <c r="C93" s="94" t="s">
        <v>152</v>
      </c>
      <c r="D93" s="215">
        <v>1000000</v>
      </c>
      <c r="E93" s="94" t="s">
        <v>327</v>
      </c>
      <c r="F93" s="138" t="s">
        <v>244</v>
      </c>
    </row>
    <row r="94" spans="1:6" x14ac:dyDescent="0.25">
      <c r="A94" s="210">
        <v>86</v>
      </c>
      <c r="B94" s="83" t="s">
        <v>202</v>
      </c>
      <c r="C94" s="94" t="s">
        <v>203</v>
      </c>
      <c r="D94" s="215">
        <v>40969600</v>
      </c>
      <c r="E94" s="176"/>
      <c r="F94" s="103" t="s">
        <v>241</v>
      </c>
    </row>
    <row r="95" spans="1:6" ht="28.5" x14ac:dyDescent="0.25">
      <c r="A95" s="210">
        <v>87</v>
      </c>
      <c r="B95" s="83" t="s">
        <v>48</v>
      </c>
      <c r="C95" s="94" t="s">
        <v>153</v>
      </c>
      <c r="D95" s="215">
        <v>3150188.07</v>
      </c>
      <c r="E95" s="129"/>
      <c r="F95" s="103" t="s">
        <v>241</v>
      </c>
    </row>
    <row r="96" spans="1:6" x14ac:dyDescent="0.25">
      <c r="A96" s="210">
        <v>88</v>
      </c>
      <c r="B96" s="289" t="s">
        <v>250</v>
      </c>
      <c r="C96" s="307" t="s">
        <v>251</v>
      </c>
      <c r="D96" s="310">
        <v>1623205</v>
      </c>
      <c r="E96" s="84" t="s">
        <v>252</v>
      </c>
      <c r="F96" s="307" t="s">
        <v>267</v>
      </c>
    </row>
    <row r="97" spans="1:6" x14ac:dyDescent="0.25">
      <c r="A97" s="210">
        <v>89</v>
      </c>
      <c r="B97" s="289"/>
      <c r="C97" s="308"/>
      <c r="D97" s="311"/>
      <c r="E97" s="84" t="s">
        <v>253</v>
      </c>
      <c r="F97" s="308"/>
    </row>
    <row r="98" spans="1:6" x14ac:dyDescent="0.25">
      <c r="A98" s="210">
        <v>90</v>
      </c>
      <c r="B98" s="289"/>
      <c r="C98" s="308"/>
      <c r="D98" s="311"/>
      <c r="E98" s="84" t="s">
        <v>254</v>
      </c>
      <c r="F98" s="308"/>
    </row>
    <row r="99" spans="1:6" x14ac:dyDescent="0.25">
      <c r="A99" s="210">
        <v>91</v>
      </c>
      <c r="B99" s="289"/>
      <c r="C99" s="308"/>
      <c r="D99" s="311"/>
      <c r="E99" s="84" t="s">
        <v>255</v>
      </c>
      <c r="F99" s="308"/>
    </row>
    <row r="100" spans="1:6" x14ac:dyDescent="0.25">
      <c r="A100" s="210">
        <v>92</v>
      </c>
      <c r="B100" s="289"/>
      <c r="C100" s="308"/>
      <c r="D100" s="311"/>
      <c r="E100" s="84" t="s">
        <v>256</v>
      </c>
      <c r="F100" s="308"/>
    </row>
    <row r="101" spans="1:6" x14ac:dyDescent="0.25">
      <c r="A101" s="210">
        <v>93</v>
      </c>
      <c r="B101" s="289"/>
      <c r="C101" s="308"/>
      <c r="D101" s="311"/>
      <c r="E101" s="84" t="s">
        <v>257</v>
      </c>
      <c r="F101" s="308"/>
    </row>
    <row r="102" spans="1:6" ht="29.25" x14ac:dyDescent="0.25">
      <c r="A102" s="210">
        <v>94</v>
      </c>
      <c r="B102" s="289"/>
      <c r="C102" s="309"/>
      <c r="D102" s="312"/>
      <c r="E102" s="84" t="s">
        <v>307</v>
      </c>
      <c r="F102" s="308"/>
    </row>
    <row r="103" spans="1:6" x14ac:dyDescent="0.25">
      <c r="A103" s="210">
        <v>95</v>
      </c>
      <c r="B103" s="289" t="s">
        <v>259</v>
      </c>
      <c r="C103" s="313" t="s">
        <v>260</v>
      </c>
      <c r="D103" s="310">
        <v>125000</v>
      </c>
      <c r="E103" s="84" t="s">
        <v>366</v>
      </c>
      <c r="F103" s="307" t="s">
        <v>64</v>
      </c>
    </row>
    <row r="104" spans="1:6" x14ac:dyDescent="0.25">
      <c r="A104" s="210">
        <v>96</v>
      </c>
      <c r="B104" s="289"/>
      <c r="C104" s="314"/>
      <c r="D104" s="311"/>
      <c r="E104" s="84" t="s">
        <v>367</v>
      </c>
      <c r="F104" s="308"/>
    </row>
    <row r="105" spans="1:6" x14ac:dyDescent="0.25">
      <c r="A105" s="210">
        <v>97</v>
      </c>
      <c r="B105" s="289"/>
      <c r="C105" s="314"/>
      <c r="D105" s="311"/>
      <c r="E105" s="84" t="s">
        <v>258</v>
      </c>
      <c r="F105" s="308"/>
    </row>
    <row r="106" spans="1:6" x14ac:dyDescent="0.25">
      <c r="A106" s="210">
        <v>98</v>
      </c>
      <c r="B106" s="289"/>
      <c r="C106" s="315"/>
      <c r="D106" s="312"/>
      <c r="E106" s="164" t="s">
        <v>268</v>
      </c>
      <c r="F106" s="309"/>
    </row>
    <row r="107" spans="1:6" s="209" customFormat="1" x14ac:dyDescent="0.25">
      <c r="D107" s="218">
        <f>SUM(D9:D106)</f>
        <v>127226850.91</v>
      </c>
    </row>
  </sheetData>
  <mergeCells count="55">
    <mergeCell ref="D103:D106"/>
    <mergeCell ref="A2:F2"/>
    <mergeCell ref="A3:F3"/>
    <mergeCell ref="A4:F4"/>
    <mergeCell ref="A5:F5"/>
    <mergeCell ref="C64:C68"/>
    <mergeCell ref="D64:D68"/>
    <mergeCell ref="B70:B72"/>
    <mergeCell ref="C70:C72"/>
    <mergeCell ref="D70:D72"/>
    <mergeCell ref="B96:B102"/>
    <mergeCell ref="C96:C102"/>
    <mergeCell ref="D96:D102"/>
    <mergeCell ref="F96:F102"/>
    <mergeCell ref="F103:F106"/>
    <mergeCell ref="C44:C50"/>
    <mergeCell ref="D44:D50"/>
    <mergeCell ref="B44:B50"/>
    <mergeCell ref="B56:B61"/>
    <mergeCell ref="C56:C61"/>
    <mergeCell ref="D56:D61"/>
    <mergeCell ref="B103:B106"/>
    <mergeCell ref="C103:C106"/>
    <mergeCell ref="F39:F40"/>
    <mergeCell ref="B41:B42"/>
    <mergeCell ref="C41:C42"/>
    <mergeCell ref="D41:D42"/>
    <mergeCell ref="B51:B52"/>
    <mergeCell ref="C51:C52"/>
    <mergeCell ref="D51:D52"/>
    <mergeCell ref="B64:B68"/>
    <mergeCell ref="B53:B54"/>
    <mergeCell ref="C53:C54"/>
    <mergeCell ref="D53:D54"/>
    <mergeCell ref="B62:B63"/>
    <mergeCell ref="C62:C63"/>
    <mergeCell ref="D62:D63"/>
    <mergeCell ref="B32:B33"/>
    <mergeCell ref="C32:C33"/>
    <mergeCell ref="D32:D33"/>
    <mergeCell ref="B39:B40"/>
    <mergeCell ref="C39:C40"/>
    <mergeCell ref="D39:D40"/>
    <mergeCell ref="B16:B18"/>
    <mergeCell ref="C16:C18"/>
    <mergeCell ref="D16:D18"/>
    <mergeCell ref="B19:B22"/>
    <mergeCell ref="C19:C22"/>
    <mergeCell ref="D19:D22"/>
    <mergeCell ref="B10:B11"/>
    <mergeCell ref="C10:C11"/>
    <mergeCell ref="D10:D11"/>
    <mergeCell ref="B12:B14"/>
    <mergeCell ref="C12:C14"/>
    <mergeCell ref="D12:D14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&amp;CPágina &amp;P de &amp;N&amp;RPAA-2019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J30"/>
  <sheetViews>
    <sheetView topLeftCell="A4" workbookViewId="0">
      <selection activeCell="D24" sqref="D24"/>
    </sheetView>
  </sheetViews>
  <sheetFormatPr baseColWidth="10" defaultRowHeight="14.25" x14ac:dyDescent="0.2"/>
  <cols>
    <col min="1" max="1" width="6.5703125" style="10" customWidth="1"/>
    <col min="2" max="2" width="37.42578125" style="10" customWidth="1"/>
    <col min="3" max="3" width="20.140625" style="10" customWidth="1"/>
    <col min="4" max="4" width="22.7109375" style="10" customWidth="1"/>
    <col min="5" max="5" width="16" style="10" customWidth="1"/>
    <col min="6" max="6" width="16.28515625" style="10" customWidth="1"/>
    <col min="7" max="8" width="15.5703125" style="10" bestFit="1" customWidth="1"/>
    <col min="9" max="16384" width="11.42578125" style="10"/>
  </cols>
  <sheetData>
    <row r="3" spans="1:10" ht="30" x14ac:dyDescent="0.25">
      <c r="A3" s="226" t="s">
        <v>337</v>
      </c>
      <c r="B3" s="227"/>
      <c r="C3" s="171" t="s">
        <v>343</v>
      </c>
      <c r="D3" s="183" t="s">
        <v>344</v>
      </c>
      <c r="E3" s="184" t="s">
        <v>345</v>
      </c>
    </row>
    <row r="4" spans="1:10" x14ac:dyDescent="0.2">
      <c r="A4" s="178">
        <v>1000</v>
      </c>
      <c r="B4" s="24" t="s">
        <v>338</v>
      </c>
      <c r="C4" s="163">
        <v>95305662.760000005</v>
      </c>
      <c r="D4" s="163">
        <v>95305662.760000005</v>
      </c>
      <c r="E4" s="163">
        <f>+C4-D4</f>
        <v>0</v>
      </c>
    </row>
    <row r="5" spans="1:10" x14ac:dyDescent="0.2">
      <c r="A5" s="178">
        <v>2000</v>
      </c>
      <c r="B5" s="24" t="s">
        <v>339</v>
      </c>
      <c r="C5" s="66">
        <v>6198200</v>
      </c>
      <c r="D5" s="66">
        <v>6198200</v>
      </c>
      <c r="E5" s="163">
        <f>+C5-D5</f>
        <v>0</v>
      </c>
    </row>
    <row r="6" spans="1:10" x14ac:dyDescent="0.2">
      <c r="A6" s="178">
        <v>3000</v>
      </c>
      <c r="B6" s="24" t="s">
        <v>340</v>
      </c>
      <c r="C6" s="66">
        <f>83585636.87+400000</f>
        <v>83985636.870000005</v>
      </c>
      <c r="D6" s="66">
        <f>+'3'!C63</f>
        <v>119280445.91</v>
      </c>
      <c r="E6" s="163">
        <f>+D6-C6</f>
        <v>35294809.039999992</v>
      </c>
    </row>
    <row r="7" spans="1:10" ht="28.5" x14ac:dyDescent="0.2">
      <c r="A7" s="179">
        <v>4000</v>
      </c>
      <c r="B7" s="65" t="s">
        <v>341</v>
      </c>
      <c r="C7" s="172">
        <f>2200000-400000</f>
        <v>1800000</v>
      </c>
      <c r="D7" s="172">
        <v>1800000</v>
      </c>
      <c r="E7" s="163">
        <f>+C7-D7</f>
        <v>0</v>
      </c>
    </row>
    <row r="8" spans="1:10" x14ac:dyDescent="0.2">
      <c r="A8" s="178">
        <v>5000</v>
      </c>
      <c r="B8" s="65" t="s">
        <v>342</v>
      </c>
      <c r="C8" s="160">
        <v>2763014</v>
      </c>
      <c r="D8" s="160">
        <v>1468205.33</v>
      </c>
      <c r="E8" s="163">
        <f>+D8-C8</f>
        <v>-1294808.67</v>
      </c>
    </row>
    <row r="9" spans="1:10" x14ac:dyDescent="0.2">
      <c r="A9" s="160"/>
      <c r="B9" s="24"/>
      <c r="C9" s="163"/>
      <c r="D9" s="163"/>
      <c r="E9" s="24"/>
      <c r="F9" s="86"/>
    </row>
    <row r="11" spans="1:10" x14ac:dyDescent="0.2">
      <c r="B11" s="86"/>
      <c r="C11" s="86">
        <f>SUM(C4:C9)</f>
        <v>190052513.63</v>
      </c>
      <c r="D11" s="86">
        <f>SUM(D4:D10)</f>
        <v>224052514.00000003</v>
      </c>
    </row>
    <row r="12" spans="1:10" x14ac:dyDescent="0.2">
      <c r="C12" s="87">
        <v>190052513.63</v>
      </c>
      <c r="D12" s="87">
        <v>224052514</v>
      </c>
      <c r="E12" s="86">
        <f>+D12-C12</f>
        <v>34000000.370000005</v>
      </c>
      <c r="F12" s="86"/>
    </row>
    <row r="13" spans="1:10" x14ac:dyDescent="0.2">
      <c r="C13" s="86">
        <f>+C12-C11</f>
        <v>0</v>
      </c>
      <c r="D13" s="86">
        <f>+D11-D12</f>
        <v>0</v>
      </c>
    </row>
    <row r="14" spans="1:10" x14ac:dyDescent="0.2">
      <c r="H14" s="86">
        <f>+H16-H15</f>
        <v>213197.5900000009</v>
      </c>
    </row>
    <row r="15" spans="1:10" x14ac:dyDescent="0.2">
      <c r="E15" s="86"/>
      <c r="F15" s="86"/>
      <c r="H15" s="87">
        <v>141104.37</v>
      </c>
    </row>
    <row r="16" spans="1:10" ht="15" x14ac:dyDescent="0.25">
      <c r="B16" s="43" t="s">
        <v>361</v>
      </c>
      <c r="E16" s="86"/>
      <c r="H16" s="86">
        <f>+G17-H17</f>
        <v>354301.96000000089</v>
      </c>
      <c r="J16" s="10">
        <v>72767971.290000007</v>
      </c>
    </row>
    <row r="17" spans="2:10" x14ac:dyDescent="0.2">
      <c r="B17" s="10" t="s">
        <v>347</v>
      </c>
      <c r="C17" s="87">
        <f>8130*41*12</f>
        <v>3999960</v>
      </c>
      <c r="D17" s="10" t="s">
        <v>348</v>
      </c>
      <c r="G17" s="87">
        <f>+C17+C18</f>
        <v>12855960</v>
      </c>
      <c r="H17" s="87">
        <v>12501658.039999999</v>
      </c>
      <c r="J17" s="10">
        <v>74207822</v>
      </c>
    </row>
    <row r="18" spans="2:10" x14ac:dyDescent="0.2">
      <c r="B18" s="10" t="s">
        <v>349</v>
      </c>
      <c r="C18" s="87">
        <v>8856000</v>
      </c>
      <c r="D18" s="10" t="s">
        <v>350</v>
      </c>
      <c r="G18" s="87">
        <v>16224308.75</v>
      </c>
      <c r="J18" s="10">
        <f>+J16-J17</f>
        <v>-1439850.7099999934</v>
      </c>
    </row>
    <row r="19" spans="2:10" x14ac:dyDescent="0.2">
      <c r="B19" s="10" t="s">
        <v>351</v>
      </c>
      <c r="C19" s="87">
        <v>10768344.960000001</v>
      </c>
      <c r="D19" s="10" t="s">
        <v>355</v>
      </c>
      <c r="G19" s="87">
        <f>+G18-G17</f>
        <v>3368348.75</v>
      </c>
    </row>
    <row r="20" spans="2:10" x14ac:dyDescent="0.2">
      <c r="B20" s="10" t="s">
        <v>353</v>
      </c>
      <c r="C20" s="87">
        <v>1969819.2</v>
      </c>
      <c r="D20" s="10" t="s">
        <v>354</v>
      </c>
      <c r="G20" s="87">
        <v>2282800</v>
      </c>
      <c r="H20" s="86">
        <f>+G18-G20</f>
        <v>13941508.75</v>
      </c>
      <c r="I20" s="87">
        <f>+H20/41/12</f>
        <v>28336.399898373984</v>
      </c>
    </row>
    <row r="21" spans="2:10" x14ac:dyDescent="0.2">
      <c r="B21" s="10" t="s">
        <v>356</v>
      </c>
      <c r="C21" s="87">
        <v>7200684.8799999999</v>
      </c>
      <c r="D21" s="10" t="s">
        <v>365</v>
      </c>
      <c r="G21" s="87">
        <f>+G19-G20</f>
        <v>1085548.75</v>
      </c>
    </row>
    <row r="22" spans="2:10" x14ac:dyDescent="0.2">
      <c r="B22" s="10" t="s">
        <v>326</v>
      </c>
      <c r="C22" s="87">
        <v>2500000</v>
      </c>
      <c r="D22" s="10" t="s">
        <v>352</v>
      </c>
      <c r="G22" s="86">
        <f>+'1'!C33</f>
        <v>1439850.71</v>
      </c>
    </row>
    <row r="23" spans="2:10" ht="15" x14ac:dyDescent="0.25">
      <c r="C23" s="161">
        <f>SUM(C17:C22)</f>
        <v>35294809.039999999</v>
      </c>
      <c r="G23" s="86">
        <f>+G21-G22</f>
        <v>-354301.95999999996</v>
      </c>
    </row>
    <row r="26" spans="2:10" x14ac:dyDescent="0.2">
      <c r="B26" s="10" t="s">
        <v>357</v>
      </c>
      <c r="C26" s="87">
        <v>3888691.26</v>
      </c>
    </row>
    <row r="27" spans="2:10" x14ac:dyDescent="0.2">
      <c r="B27" s="10" t="s">
        <v>358</v>
      </c>
      <c r="C27" s="87">
        <v>15311993.619999999</v>
      </c>
    </row>
    <row r="28" spans="2:10" x14ac:dyDescent="0.2">
      <c r="B28" s="10" t="s">
        <v>359</v>
      </c>
      <c r="C28" s="86">
        <f>SUM(C26:C27)</f>
        <v>19200684.879999999</v>
      </c>
    </row>
    <row r="29" spans="2:10" x14ac:dyDescent="0.2">
      <c r="B29" s="10" t="s">
        <v>360</v>
      </c>
      <c r="C29" s="87">
        <v>12000000</v>
      </c>
    </row>
    <row r="30" spans="2:10" ht="15" x14ac:dyDescent="0.25">
      <c r="B30" s="10" t="s">
        <v>346</v>
      </c>
      <c r="C30" s="161">
        <f>+C28-C29</f>
        <v>7200684.879999999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9"/>
  <sheetViews>
    <sheetView workbookViewId="0">
      <selection activeCell="E25" sqref="E25"/>
    </sheetView>
  </sheetViews>
  <sheetFormatPr baseColWidth="10" defaultRowHeight="15" x14ac:dyDescent="0.25"/>
  <cols>
    <col min="1" max="1" width="13.85546875" customWidth="1"/>
    <col min="2" max="2" width="50" customWidth="1"/>
    <col min="3" max="3" width="16.5703125" customWidth="1"/>
    <col min="4" max="4" width="15.28515625" style="1" bestFit="1" customWidth="1"/>
    <col min="5" max="5" width="14.85546875" customWidth="1"/>
    <col min="6" max="6" width="15.140625" bestFit="1" customWidth="1"/>
  </cols>
  <sheetData>
    <row r="2" spans="1:5" ht="30" customHeight="1" x14ac:dyDescent="0.25">
      <c r="A2" s="228" t="s">
        <v>301</v>
      </c>
      <c r="B2" s="228"/>
      <c r="C2" s="14"/>
      <c r="D2" s="125"/>
      <c r="E2" s="14"/>
    </row>
    <row r="3" spans="1:5" ht="15" customHeight="1" x14ac:dyDescent="0.25">
      <c r="A3" s="229" t="s">
        <v>296</v>
      </c>
      <c r="B3" s="229"/>
      <c r="C3" s="229"/>
      <c r="D3" s="229"/>
      <c r="E3" s="162"/>
    </row>
    <row r="5" spans="1:5" x14ac:dyDescent="0.25">
      <c r="A5" s="230" t="s">
        <v>116</v>
      </c>
      <c r="B5" s="230" t="s">
        <v>117</v>
      </c>
      <c r="C5" s="232" t="s">
        <v>115</v>
      </c>
    </row>
    <row r="6" spans="1:5" x14ac:dyDescent="0.25">
      <c r="A6" s="231"/>
      <c r="B6" s="231"/>
      <c r="C6" s="233"/>
    </row>
    <row r="7" spans="1:5" x14ac:dyDescent="0.25">
      <c r="A7" s="24" t="s">
        <v>0</v>
      </c>
      <c r="B7" s="24" t="s">
        <v>270</v>
      </c>
      <c r="C7" s="160">
        <f>10234584+1012502.91</f>
        <v>11247086.91</v>
      </c>
      <c r="D7" s="1">
        <v>10234584</v>
      </c>
      <c r="E7" s="121">
        <f>+C7-D7</f>
        <v>1012502.9100000001</v>
      </c>
    </row>
    <row r="8" spans="1:5" x14ac:dyDescent="0.25">
      <c r="A8" s="24" t="s">
        <v>1</v>
      </c>
      <c r="B8" s="24" t="s">
        <v>273</v>
      </c>
      <c r="C8" s="160">
        <f>3818804.28+377792.63</f>
        <v>4196596.91</v>
      </c>
      <c r="D8" s="1">
        <v>3780444.36</v>
      </c>
      <c r="E8" s="121">
        <f t="shared" ref="E8:E18" si="0">+C8-D8</f>
        <v>416152.55000000028</v>
      </c>
    </row>
    <row r="9" spans="1:5" x14ac:dyDescent="0.25">
      <c r="A9" s="24" t="s">
        <v>2</v>
      </c>
      <c r="B9" s="24" t="s">
        <v>275</v>
      </c>
      <c r="C9" s="160">
        <f>7325172+1277484+851056.99</f>
        <v>9453712.9900000002</v>
      </c>
      <c r="D9" s="1">
        <v>7910796</v>
      </c>
      <c r="E9" s="121">
        <f t="shared" si="0"/>
        <v>1542916.9900000002</v>
      </c>
    </row>
    <row r="10" spans="1:5" x14ac:dyDescent="0.25">
      <c r="A10" s="24" t="s">
        <v>3</v>
      </c>
      <c r="B10" s="24" t="s">
        <v>276</v>
      </c>
      <c r="C10" s="160">
        <v>5595147.5700000003</v>
      </c>
      <c r="D10" s="1">
        <v>1277484</v>
      </c>
      <c r="E10" s="121">
        <f t="shared" si="0"/>
        <v>4317663.57</v>
      </c>
    </row>
    <row r="11" spans="1:5" x14ac:dyDescent="0.25">
      <c r="A11" s="24" t="s">
        <v>4</v>
      </c>
      <c r="B11" s="24" t="s">
        <v>278</v>
      </c>
      <c r="C11" s="160">
        <v>822452.26</v>
      </c>
      <c r="D11" s="1">
        <v>839607.29</v>
      </c>
      <c r="E11" s="121">
        <f t="shared" si="0"/>
        <v>-17155.030000000028</v>
      </c>
    </row>
    <row r="12" spans="1:5" x14ac:dyDescent="0.25">
      <c r="A12" s="24" t="s">
        <v>5</v>
      </c>
      <c r="B12" s="24" t="s">
        <v>283</v>
      </c>
      <c r="C12" s="160">
        <v>2956845.05</v>
      </c>
      <c r="D12" s="1">
        <v>5006</v>
      </c>
      <c r="E12" s="121">
        <f t="shared" si="0"/>
        <v>2951839.05</v>
      </c>
    </row>
    <row r="13" spans="1:5" x14ac:dyDescent="0.25">
      <c r="A13" s="24" t="s">
        <v>6</v>
      </c>
      <c r="B13" s="24" t="s">
        <v>284</v>
      </c>
      <c r="C13" s="160">
        <v>43183398.740000002</v>
      </c>
      <c r="E13" s="121">
        <f t="shared" si="0"/>
        <v>43183398.740000002</v>
      </c>
    </row>
    <row r="14" spans="1:5" x14ac:dyDescent="0.25">
      <c r="A14" s="24" t="s">
        <v>7</v>
      </c>
      <c r="B14" s="24" t="s">
        <v>285</v>
      </c>
      <c r="C14" s="160">
        <v>5614440.2400000002</v>
      </c>
      <c r="E14" s="121">
        <f t="shared" si="0"/>
        <v>5614440.2400000002</v>
      </c>
    </row>
    <row r="15" spans="1:5" x14ac:dyDescent="0.25">
      <c r="A15" s="24" t="s">
        <v>8</v>
      </c>
      <c r="B15" s="24" t="s">
        <v>286</v>
      </c>
      <c r="C15" s="160">
        <v>453120.84</v>
      </c>
      <c r="E15" s="121">
        <f t="shared" si="0"/>
        <v>453120.84</v>
      </c>
    </row>
    <row r="16" spans="1:5" x14ac:dyDescent="0.25">
      <c r="A16" s="24" t="s">
        <v>9</v>
      </c>
      <c r="B16" s="24" t="s">
        <v>287</v>
      </c>
      <c r="C16" s="160">
        <v>2124859.2000000002</v>
      </c>
      <c r="E16" s="121">
        <f t="shared" si="0"/>
        <v>2124859.2000000002</v>
      </c>
    </row>
    <row r="17" spans="1:6" x14ac:dyDescent="0.25">
      <c r="A17" s="24" t="s">
        <v>289</v>
      </c>
      <c r="B17" s="65" t="s">
        <v>310</v>
      </c>
      <c r="C17" s="160">
        <v>1439850.71</v>
      </c>
      <c r="E17" s="121">
        <f t="shared" si="0"/>
        <v>1439850.71</v>
      </c>
    </row>
    <row r="18" spans="1:6" x14ac:dyDescent="0.25">
      <c r="A18" s="24" t="s">
        <v>10</v>
      </c>
      <c r="B18" s="24" t="s">
        <v>288</v>
      </c>
      <c r="C18" s="160">
        <f>5250000+2968151.36</f>
        <v>8218151.3599999994</v>
      </c>
      <c r="E18" s="121">
        <f t="shared" si="0"/>
        <v>8218151.3599999994</v>
      </c>
    </row>
    <row r="19" spans="1:6" x14ac:dyDescent="0.25">
      <c r="A19" s="24"/>
      <c r="B19" s="24"/>
      <c r="C19" s="160"/>
    </row>
    <row r="20" spans="1:6" x14ac:dyDescent="0.25">
      <c r="A20" s="158"/>
      <c r="B20" s="158"/>
      <c r="C20" s="161">
        <f>SUM(C7:C18)</f>
        <v>95305662.780000001</v>
      </c>
      <c r="D20" s="197">
        <v>0.03</v>
      </c>
      <c r="E20" s="121">
        <f>+C20*D20</f>
        <v>2859169.8833999997</v>
      </c>
      <c r="F20" s="121">
        <f>+C20+E20</f>
        <v>98164832.663399994</v>
      </c>
    </row>
    <row r="21" spans="1:6" x14ac:dyDescent="0.25">
      <c r="F21">
        <v>4117062.36</v>
      </c>
    </row>
    <row r="22" spans="1:6" x14ac:dyDescent="0.25">
      <c r="C22">
        <v>93865810.079999998</v>
      </c>
      <c r="F22" s="121">
        <f>+F20+F21</f>
        <v>102281895.02339999</v>
      </c>
    </row>
    <row r="23" spans="1:6" x14ac:dyDescent="0.25">
      <c r="C23" s="121">
        <f>+C22-C20</f>
        <v>-1439852.700000003</v>
      </c>
    </row>
    <row r="24" spans="1:6" x14ac:dyDescent="0.25">
      <c r="D24" s="1">
        <v>84460514.709999993</v>
      </c>
    </row>
    <row r="25" spans="1:6" x14ac:dyDescent="0.25">
      <c r="A25" s="228" t="s">
        <v>301</v>
      </c>
      <c r="B25" s="228"/>
      <c r="C25" s="14"/>
      <c r="D25" s="125">
        <f>+C20-D24</f>
        <v>10845148.070000008</v>
      </c>
      <c r="E25" s="121">
        <f>+D25-C10</f>
        <v>5250000.5000000075</v>
      </c>
    </row>
    <row r="26" spans="1:6" x14ac:dyDescent="0.25">
      <c r="A26" s="229" t="s">
        <v>296</v>
      </c>
      <c r="B26" s="229"/>
      <c r="C26" s="229"/>
      <c r="D26" s="229"/>
    </row>
    <row r="28" spans="1:6" x14ac:dyDescent="0.25">
      <c r="A28" s="230" t="s">
        <v>116</v>
      </c>
      <c r="B28" s="230" t="s">
        <v>117</v>
      </c>
      <c r="C28" s="232" t="s">
        <v>115</v>
      </c>
    </row>
    <row r="29" spans="1:6" x14ac:dyDescent="0.25">
      <c r="A29" s="231"/>
      <c r="B29" s="231"/>
      <c r="C29" s="233"/>
    </row>
    <row r="30" spans="1:6" x14ac:dyDescent="0.25">
      <c r="A30" s="24" t="s">
        <v>0</v>
      </c>
      <c r="B30" s="24" t="s">
        <v>311</v>
      </c>
      <c r="C30" s="160">
        <f>10234584+1012502.91</f>
        <v>11247086.91</v>
      </c>
    </row>
    <row r="31" spans="1:6" x14ac:dyDescent="0.25">
      <c r="A31" s="24" t="s">
        <v>274</v>
      </c>
      <c r="B31" s="24" t="s">
        <v>312</v>
      </c>
      <c r="C31" s="160">
        <f>+C8+C9+C11+C12+C13+C14+C15+C16+C18</f>
        <v>77023577.590000004</v>
      </c>
    </row>
    <row r="32" spans="1:6" x14ac:dyDescent="0.25">
      <c r="A32" s="24" t="s">
        <v>3</v>
      </c>
      <c r="B32" s="24" t="s">
        <v>276</v>
      </c>
      <c r="C32" s="160">
        <f>+C10</f>
        <v>5595147.5700000003</v>
      </c>
    </row>
    <row r="33" spans="1:3" x14ac:dyDescent="0.25">
      <c r="A33" s="24" t="s">
        <v>317</v>
      </c>
      <c r="B33" s="65" t="s">
        <v>310</v>
      </c>
      <c r="C33" s="160">
        <v>1439850.71</v>
      </c>
    </row>
    <row r="34" spans="1:3" x14ac:dyDescent="0.25">
      <c r="A34" s="158"/>
      <c r="B34" s="158"/>
      <c r="C34" s="161">
        <f>SUM(C30:C33)</f>
        <v>95305662.779999986</v>
      </c>
    </row>
    <row r="36" spans="1:3" x14ac:dyDescent="0.25">
      <c r="C36" s="1"/>
    </row>
    <row r="37" spans="1:3" x14ac:dyDescent="0.25">
      <c r="C37" s="121"/>
    </row>
    <row r="39" spans="1:3" x14ac:dyDescent="0.25">
      <c r="C39" s="1">
        <f>+C30/41/12</f>
        <v>22859.932743902438</v>
      </c>
    </row>
  </sheetData>
  <mergeCells count="10">
    <mergeCell ref="A5:A6"/>
    <mergeCell ref="B5:B6"/>
    <mergeCell ref="C5:C6"/>
    <mergeCell ref="A2:B2"/>
    <mergeCell ref="A3:D3"/>
    <mergeCell ref="A25:B25"/>
    <mergeCell ref="A26:D26"/>
    <mergeCell ref="A28:A29"/>
    <mergeCell ref="B28:B29"/>
    <mergeCell ref="C28:C29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2"/>
  <sheetViews>
    <sheetView topLeftCell="A4" zoomScaleNormal="100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B7" sqref="B7"/>
    </sheetView>
  </sheetViews>
  <sheetFormatPr baseColWidth="10" defaultRowHeight="14.25" x14ac:dyDescent="0.2"/>
  <cols>
    <col min="1" max="1" width="8.42578125" style="10" customWidth="1"/>
    <col min="2" max="2" width="34.42578125" style="10" customWidth="1"/>
    <col min="3" max="3" width="14.140625" style="10" customWidth="1"/>
    <col min="4" max="4" width="19.28515625" style="10" customWidth="1"/>
    <col min="5" max="5" width="18" style="10" customWidth="1"/>
    <col min="6" max="6" width="14.140625" style="10" customWidth="1"/>
    <col min="7" max="7" width="10.28515625" style="10" customWidth="1"/>
    <col min="8" max="8" width="9.28515625" style="10" customWidth="1"/>
    <col min="9" max="9" width="10.85546875" style="10" customWidth="1"/>
    <col min="10" max="10" width="11.28515625" style="10" bestFit="1" customWidth="1"/>
    <col min="11" max="11" width="10.5703125" style="10" customWidth="1"/>
    <col min="12" max="12" width="10.85546875" style="10" customWidth="1"/>
    <col min="13" max="13" width="7.5703125" style="10" customWidth="1"/>
    <col min="14" max="14" width="9.140625" style="10" customWidth="1"/>
    <col min="15" max="15" width="5.5703125" style="10" bestFit="1" customWidth="1"/>
    <col min="16" max="16" width="7.5703125" style="10" customWidth="1"/>
    <col min="17" max="17" width="10.7109375" style="10" customWidth="1"/>
    <col min="18" max="18" width="8.85546875" style="10" customWidth="1"/>
    <col min="19" max="19" width="11" style="10" customWidth="1"/>
    <col min="20" max="20" width="10.42578125" style="10" customWidth="1"/>
    <col min="21" max="16384" width="11.42578125" style="10"/>
  </cols>
  <sheetData>
    <row r="1" spans="1:20" ht="15" x14ac:dyDescent="0.25">
      <c r="B1" s="43" t="s">
        <v>119</v>
      </c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3" customFormat="1" ht="30" x14ac:dyDescent="0.25">
      <c r="B2" s="44" t="s">
        <v>120</v>
      </c>
      <c r="C2" s="14"/>
      <c r="D2" s="14"/>
      <c r="E2" s="14"/>
      <c r="F2" s="14"/>
      <c r="G2" s="14"/>
      <c r="H2" s="14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3" customFormat="1" ht="15" x14ac:dyDescent="0.25">
      <c r="B3" s="44" t="s">
        <v>121</v>
      </c>
      <c r="C3" s="14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3" customFormat="1" ht="15" x14ac:dyDescent="0.25">
      <c r="C4" s="16"/>
      <c r="D4" s="16"/>
      <c r="E4" s="16"/>
      <c r="F4" s="16"/>
      <c r="G4" s="16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57" customFormat="1" ht="45" customHeight="1" x14ac:dyDescent="0.2">
      <c r="A5" s="240" t="s">
        <v>116</v>
      </c>
      <c r="B5" s="240" t="s">
        <v>117</v>
      </c>
      <c r="C5" s="242" t="s">
        <v>115</v>
      </c>
      <c r="D5" s="258" t="s">
        <v>154</v>
      </c>
      <c r="E5" s="242" t="s">
        <v>118</v>
      </c>
      <c r="F5" s="258" t="s">
        <v>56</v>
      </c>
      <c r="G5" s="236" t="s">
        <v>49</v>
      </c>
      <c r="H5" s="237"/>
      <c r="I5" s="238"/>
      <c r="J5" s="234" t="s">
        <v>57</v>
      </c>
      <c r="K5" s="234" t="s">
        <v>58</v>
      </c>
      <c r="L5" s="234" t="s">
        <v>158</v>
      </c>
      <c r="M5" s="234" t="s">
        <v>59</v>
      </c>
      <c r="N5" s="234" t="s">
        <v>60</v>
      </c>
      <c r="O5" s="234" t="s">
        <v>61</v>
      </c>
      <c r="P5" s="234" t="s">
        <v>62</v>
      </c>
      <c r="Q5" s="234" t="s">
        <v>63</v>
      </c>
      <c r="R5" s="234" t="s">
        <v>159</v>
      </c>
      <c r="S5" s="234" t="s">
        <v>160</v>
      </c>
      <c r="T5" s="234" t="s">
        <v>161</v>
      </c>
    </row>
    <row r="6" spans="1:20" s="57" customFormat="1" ht="12.75" customHeight="1" x14ac:dyDescent="0.2">
      <c r="A6" s="241"/>
      <c r="B6" s="241"/>
      <c r="C6" s="243"/>
      <c r="D6" s="242"/>
      <c r="E6" s="243"/>
      <c r="F6" s="242"/>
      <c r="G6" s="45" t="s">
        <v>155</v>
      </c>
      <c r="H6" s="45" t="s">
        <v>156</v>
      </c>
      <c r="I6" s="45" t="s">
        <v>157</v>
      </c>
      <c r="J6" s="235"/>
      <c r="K6" s="235" t="s">
        <v>58</v>
      </c>
      <c r="L6" s="235" t="s">
        <v>58</v>
      </c>
      <c r="M6" s="235"/>
      <c r="N6" s="235" t="s">
        <v>60</v>
      </c>
      <c r="O6" s="235" t="s">
        <v>61</v>
      </c>
      <c r="P6" s="235" t="s">
        <v>61</v>
      </c>
      <c r="Q6" s="235" t="s">
        <v>63</v>
      </c>
      <c r="R6" s="235" t="s">
        <v>123</v>
      </c>
      <c r="S6" s="235" t="s">
        <v>124</v>
      </c>
      <c r="T6" s="235"/>
    </row>
    <row r="7" spans="1:20" ht="28.5" x14ac:dyDescent="0.2">
      <c r="A7" s="18" t="s">
        <v>11</v>
      </c>
      <c r="B7" s="19" t="s">
        <v>67</v>
      </c>
      <c r="C7" s="20">
        <v>1150000</v>
      </c>
      <c r="D7" s="21" t="s">
        <v>55</v>
      </c>
      <c r="E7" s="22" t="s">
        <v>64</v>
      </c>
      <c r="F7" s="20">
        <v>900000</v>
      </c>
      <c r="G7" s="46"/>
      <c r="H7" s="47" t="s">
        <v>50</v>
      </c>
      <c r="I7" s="48"/>
      <c r="J7" s="49" t="s">
        <v>128</v>
      </c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29.25" customHeight="1" x14ac:dyDescent="0.2">
      <c r="A8" s="244" t="s">
        <v>12</v>
      </c>
      <c r="B8" s="256" t="s">
        <v>68</v>
      </c>
      <c r="C8" s="259">
        <f>+F8+F9</f>
        <v>400000</v>
      </c>
      <c r="D8" s="21" t="s">
        <v>66</v>
      </c>
      <c r="E8" s="22" t="s">
        <v>64</v>
      </c>
      <c r="F8" s="20">
        <v>300000</v>
      </c>
      <c r="G8" s="46"/>
      <c r="H8" s="47" t="s">
        <v>50</v>
      </c>
      <c r="I8" s="48"/>
      <c r="J8" s="49" t="s">
        <v>128</v>
      </c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ht="63" customHeight="1" x14ac:dyDescent="0.2">
      <c r="A9" s="246"/>
      <c r="B9" s="257"/>
      <c r="C9" s="260"/>
      <c r="D9" s="21" t="s">
        <v>69</v>
      </c>
      <c r="E9" s="25" t="s">
        <v>65</v>
      </c>
      <c r="F9" s="20">
        <v>100000</v>
      </c>
      <c r="G9" s="47" t="s">
        <v>50</v>
      </c>
      <c r="H9" s="51"/>
      <c r="I9" s="48"/>
      <c r="J9" s="52"/>
      <c r="K9" s="49" t="s">
        <v>130</v>
      </c>
      <c r="L9" s="50"/>
      <c r="M9" s="50"/>
      <c r="N9" s="50"/>
      <c r="O9" s="50"/>
      <c r="P9" s="50"/>
      <c r="Q9" s="50"/>
      <c r="R9" s="50"/>
      <c r="S9" s="50"/>
      <c r="T9" s="50"/>
    </row>
    <row r="10" spans="1:20" ht="28.5" x14ac:dyDescent="0.2">
      <c r="A10" s="261" t="s">
        <v>13</v>
      </c>
      <c r="B10" s="264" t="s">
        <v>70</v>
      </c>
      <c r="C10" s="259">
        <v>260000</v>
      </c>
      <c r="D10" s="21" t="s">
        <v>122</v>
      </c>
      <c r="E10" s="25" t="s">
        <v>65</v>
      </c>
      <c r="F10" s="20">
        <v>50000</v>
      </c>
      <c r="G10" s="47" t="s">
        <v>50</v>
      </c>
      <c r="H10" s="51"/>
      <c r="I10" s="48"/>
      <c r="J10" s="52"/>
      <c r="L10" s="49" t="s">
        <v>130</v>
      </c>
      <c r="M10" s="50"/>
      <c r="N10" s="50"/>
      <c r="O10" s="50"/>
      <c r="P10" s="50"/>
      <c r="Q10" s="50"/>
      <c r="R10" s="50"/>
      <c r="S10" s="50"/>
      <c r="T10" s="50"/>
    </row>
    <row r="11" spans="1:20" ht="28.5" x14ac:dyDescent="0.2">
      <c r="A11" s="262"/>
      <c r="B11" s="264"/>
      <c r="C11" s="265"/>
      <c r="D11" s="21" t="s">
        <v>105</v>
      </c>
      <c r="E11" s="25" t="s">
        <v>65</v>
      </c>
      <c r="F11" s="20">
        <v>50000</v>
      </c>
      <c r="G11" s="51"/>
      <c r="H11" s="47" t="s">
        <v>50</v>
      </c>
      <c r="I11" s="48"/>
      <c r="J11" s="52"/>
      <c r="K11" s="49" t="s">
        <v>130</v>
      </c>
      <c r="L11" s="50"/>
      <c r="M11" s="50"/>
      <c r="N11" s="50"/>
      <c r="O11" s="50"/>
      <c r="P11" s="50"/>
      <c r="Q11" s="50"/>
      <c r="R11" s="50"/>
      <c r="S11" s="50"/>
      <c r="T11" s="50"/>
    </row>
    <row r="12" spans="1:20" ht="57" x14ac:dyDescent="0.2">
      <c r="A12" s="263"/>
      <c r="B12" s="264"/>
      <c r="C12" s="260"/>
      <c r="D12" s="26" t="s">
        <v>71</v>
      </c>
      <c r="E12" s="27" t="s">
        <v>65</v>
      </c>
      <c r="F12" s="28">
        <v>160000</v>
      </c>
      <c r="G12" s="47" t="s">
        <v>50</v>
      </c>
      <c r="H12" s="53"/>
      <c r="I12" s="48"/>
      <c r="J12" s="50"/>
      <c r="K12" s="50"/>
      <c r="L12" s="50"/>
      <c r="M12" s="50"/>
      <c r="N12" s="50"/>
      <c r="O12" s="50"/>
      <c r="P12" s="50"/>
      <c r="Q12" s="50"/>
      <c r="R12" s="50"/>
      <c r="S12" s="49" t="s">
        <v>128</v>
      </c>
      <c r="T12" s="50"/>
    </row>
    <row r="13" spans="1:20" ht="57" x14ac:dyDescent="0.2">
      <c r="A13" s="29" t="s">
        <v>14</v>
      </c>
      <c r="B13" s="30" t="s">
        <v>72</v>
      </c>
      <c r="C13" s="28">
        <v>15000</v>
      </c>
      <c r="D13" s="26" t="s">
        <v>125</v>
      </c>
      <c r="E13" s="31" t="s">
        <v>73</v>
      </c>
      <c r="F13" s="28">
        <v>15000</v>
      </c>
      <c r="G13" s="48"/>
      <c r="H13" s="53"/>
      <c r="I13" s="48"/>
      <c r="J13" s="49" t="s">
        <v>128</v>
      </c>
      <c r="K13" s="50"/>
      <c r="L13" s="50"/>
      <c r="M13" s="50"/>
      <c r="N13" s="54">
        <v>43482</v>
      </c>
      <c r="O13" s="54"/>
      <c r="P13" s="54"/>
      <c r="Q13" s="49" t="s">
        <v>129</v>
      </c>
      <c r="R13" s="50"/>
      <c r="S13" s="50"/>
      <c r="T13" s="54"/>
    </row>
    <row r="14" spans="1:20" ht="28.5" customHeight="1" x14ac:dyDescent="0.2">
      <c r="A14" s="244" t="s">
        <v>15</v>
      </c>
      <c r="B14" s="247" t="s">
        <v>74</v>
      </c>
      <c r="C14" s="250">
        <f>SUM(F14:F16)</f>
        <v>1250000</v>
      </c>
      <c r="D14" s="26" t="s">
        <v>75</v>
      </c>
      <c r="E14" s="25" t="s">
        <v>65</v>
      </c>
      <c r="F14" s="28">
        <v>750000</v>
      </c>
      <c r="G14" s="48"/>
      <c r="H14" s="47" t="s">
        <v>50</v>
      </c>
      <c r="I14" s="48"/>
      <c r="J14" s="24"/>
      <c r="K14" s="49" t="s">
        <v>130</v>
      </c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28.5" customHeight="1" x14ac:dyDescent="0.2">
      <c r="A15" s="245"/>
      <c r="B15" s="248"/>
      <c r="C15" s="251"/>
      <c r="D15" s="26" t="s">
        <v>215</v>
      </c>
      <c r="E15" s="25"/>
      <c r="F15" s="28">
        <v>150000</v>
      </c>
      <c r="G15" s="48"/>
      <c r="H15" s="47"/>
      <c r="I15" s="48"/>
      <c r="J15" s="24"/>
      <c r="K15" s="49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42.75" x14ac:dyDescent="0.2">
      <c r="A16" s="246"/>
      <c r="B16" s="249"/>
      <c r="C16" s="252"/>
      <c r="D16" s="26" t="s">
        <v>76</v>
      </c>
      <c r="E16" s="25" t="s">
        <v>65</v>
      </c>
      <c r="F16" s="28">
        <v>350000</v>
      </c>
      <c r="G16" s="48"/>
      <c r="H16" s="47" t="s">
        <v>50</v>
      </c>
      <c r="I16" s="48"/>
      <c r="J16" s="24"/>
      <c r="K16" s="49" t="s">
        <v>130</v>
      </c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28.5" x14ac:dyDescent="0.2">
      <c r="A17" s="244" t="s">
        <v>16</v>
      </c>
      <c r="B17" s="247" t="s">
        <v>77</v>
      </c>
      <c r="C17" s="253">
        <f>SUM(F17:F20)</f>
        <v>58000</v>
      </c>
      <c r="D17" s="26" t="s">
        <v>126</v>
      </c>
      <c r="E17" s="31" t="s">
        <v>73</v>
      </c>
      <c r="F17" s="28">
        <v>18000</v>
      </c>
      <c r="G17" s="56" t="s">
        <v>50</v>
      </c>
      <c r="H17" s="53"/>
      <c r="I17" s="48"/>
      <c r="J17" s="50"/>
      <c r="K17" s="49" t="s">
        <v>130</v>
      </c>
      <c r="L17" s="50"/>
      <c r="M17" s="50"/>
      <c r="N17" s="50"/>
      <c r="O17" s="50"/>
      <c r="P17" s="50"/>
      <c r="Q17" s="50"/>
      <c r="R17" s="50"/>
      <c r="S17" s="50"/>
      <c r="T17" s="50"/>
    </row>
    <row r="18" spans="1:20" ht="57" x14ac:dyDescent="0.2">
      <c r="A18" s="245"/>
      <c r="B18" s="248"/>
      <c r="C18" s="254"/>
      <c r="D18" s="26" t="s">
        <v>216</v>
      </c>
      <c r="E18" s="31" t="s">
        <v>73</v>
      </c>
      <c r="F18" s="28">
        <v>8000</v>
      </c>
      <c r="G18" s="56" t="s">
        <v>50</v>
      </c>
      <c r="H18" s="53"/>
      <c r="I18" s="48"/>
      <c r="J18" s="50"/>
      <c r="K18" s="50"/>
      <c r="L18" s="49" t="s">
        <v>130</v>
      </c>
      <c r="M18" s="50"/>
      <c r="N18" s="50"/>
      <c r="O18" s="50"/>
      <c r="P18" s="50"/>
      <c r="Q18" s="50"/>
      <c r="R18" s="50"/>
      <c r="S18" s="50"/>
      <c r="T18" s="50"/>
    </row>
    <row r="19" spans="1:20" ht="27" customHeight="1" x14ac:dyDescent="0.2">
      <c r="A19" s="245"/>
      <c r="B19" s="248"/>
      <c r="C19" s="254"/>
      <c r="D19" s="26" t="s">
        <v>209</v>
      </c>
      <c r="E19" s="62"/>
      <c r="F19" s="115">
        <v>7000</v>
      </c>
      <c r="G19" s="56"/>
      <c r="H19" s="53"/>
      <c r="I19" s="48"/>
      <c r="J19" s="49" t="s">
        <v>208</v>
      </c>
      <c r="L19" s="49"/>
      <c r="M19" s="50"/>
      <c r="N19" s="50"/>
      <c r="O19" s="50"/>
      <c r="P19" s="50"/>
      <c r="Q19" s="50"/>
      <c r="R19" s="50"/>
      <c r="S19" s="50"/>
      <c r="T19" s="50"/>
    </row>
    <row r="20" spans="1:20" ht="28.5" x14ac:dyDescent="0.2">
      <c r="A20" s="246"/>
      <c r="B20" s="249"/>
      <c r="C20" s="255"/>
      <c r="D20" s="26" t="s">
        <v>217</v>
      </c>
      <c r="E20" s="31" t="s">
        <v>73</v>
      </c>
      <c r="F20" s="28">
        <v>25000</v>
      </c>
      <c r="G20" s="56" t="s">
        <v>50</v>
      </c>
      <c r="H20" s="53"/>
      <c r="I20" s="48"/>
      <c r="J20" s="50"/>
      <c r="K20" s="49" t="s">
        <v>130</v>
      </c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57" x14ac:dyDescent="0.2">
      <c r="A21" s="132" t="s">
        <v>78</v>
      </c>
      <c r="B21" s="32" t="s">
        <v>79</v>
      </c>
      <c r="C21" s="33">
        <v>500000</v>
      </c>
      <c r="D21" s="26" t="s">
        <v>80</v>
      </c>
      <c r="E21" s="31" t="s">
        <v>64</v>
      </c>
      <c r="F21" s="28"/>
      <c r="G21" s="48"/>
      <c r="H21" s="53"/>
      <c r="I21" s="48"/>
      <c r="J21" s="266" t="s">
        <v>127</v>
      </c>
      <c r="K21" s="266"/>
      <c r="L21" s="266"/>
      <c r="M21" s="266"/>
      <c r="N21" s="266"/>
      <c r="O21" s="266"/>
      <c r="P21" s="266"/>
      <c r="Q21" s="266"/>
      <c r="R21" s="50"/>
      <c r="S21" s="50"/>
      <c r="T21" s="50"/>
    </row>
    <row r="22" spans="1:20" ht="28.5" x14ac:dyDescent="0.2">
      <c r="A22" s="23" t="s">
        <v>81</v>
      </c>
      <c r="B22" s="30" t="s">
        <v>82</v>
      </c>
      <c r="C22" s="28">
        <v>145000</v>
      </c>
      <c r="D22" s="26" t="s">
        <v>86</v>
      </c>
      <c r="E22" s="31" t="s">
        <v>65</v>
      </c>
      <c r="F22" s="28"/>
      <c r="G22" s="48"/>
      <c r="H22" s="53"/>
      <c r="I22" s="48"/>
      <c r="J22" s="266" t="s">
        <v>127</v>
      </c>
      <c r="K22" s="266"/>
      <c r="L22" s="266"/>
      <c r="M22" s="266"/>
      <c r="N22" s="266"/>
      <c r="O22" s="266"/>
      <c r="P22" s="266"/>
      <c r="Q22" s="266"/>
      <c r="R22" s="50"/>
      <c r="S22" s="50"/>
      <c r="T22" s="50"/>
    </row>
    <row r="23" spans="1:20" ht="42.75" x14ac:dyDescent="0.2">
      <c r="A23" s="23" t="s">
        <v>83</v>
      </c>
      <c r="B23" s="30" t="s">
        <v>84</v>
      </c>
      <c r="C23" s="28">
        <v>125000</v>
      </c>
      <c r="D23" s="26" t="s">
        <v>85</v>
      </c>
      <c r="E23" s="31" t="s">
        <v>65</v>
      </c>
      <c r="F23" s="28"/>
      <c r="G23" s="48"/>
      <c r="H23" s="53"/>
      <c r="I23" s="48"/>
      <c r="J23" s="266" t="s">
        <v>127</v>
      </c>
      <c r="K23" s="266"/>
      <c r="L23" s="266"/>
      <c r="M23" s="266"/>
      <c r="N23" s="266"/>
      <c r="O23" s="266"/>
      <c r="P23" s="266"/>
      <c r="Q23" s="266"/>
      <c r="R23" s="50"/>
      <c r="S23" s="50"/>
      <c r="T23" s="50"/>
    </row>
    <row r="24" spans="1:20" ht="71.25" x14ac:dyDescent="0.2">
      <c r="A24" s="23" t="s">
        <v>17</v>
      </c>
      <c r="B24" s="30" t="s">
        <v>87</v>
      </c>
      <c r="C24" s="28">
        <v>375000</v>
      </c>
      <c r="D24" s="34" t="s">
        <v>88</v>
      </c>
      <c r="E24" s="31" t="s">
        <v>64</v>
      </c>
      <c r="F24" s="28"/>
      <c r="G24" s="48"/>
      <c r="H24" s="56"/>
      <c r="I24" s="48"/>
      <c r="J24" s="266" t="s">
        <v>127</v>
      </c>
      <c r="K24" s="266"/>
      <c r="L24" s="266"/>
      <c r="M24" s="266"/>
      <c r="N24" s="266"/>
      <c r="O24" s="266"/>
      <c r="P24" s="266"/>
      <c r="Q24" s="266"/>
      <c r="R24" s="50"/>
      <c r="S24" s="50"/>
      <c r="T24" s="50"/>
    </row>
    <row r="25" spans="1:20" ht="71.25" x14ac:dyDescent="0.2">
      <c r="A25" s="23" t="s">
        <v>18</v>
      </c>
      <c r="B25" s="30" t="s">
        <v>89</v>
      </c>
      <c r="C25" s="28">
        <v>205000</v>
      </c>
      <c r="D25" s="26" t="s">
        <v>90</v>
      </c>
      <c r="E25" s="27" t="s">
        <v>65</v>
      </c>
      <c r="F25" s="28"/>
      <c r="G25" s="48"/>
      <c r="H25" s="56" t="s">
        <v>50</v>
      </c>
      <c r="I25" s="48"/>
      <c r="J25" s="266" t="s">
        <v>127</v>
      </c>
      <c r="K25" s="266"/>
      <c r="L25" s="266"/>
      <c r="M25" s="266"/>
      <c r="N25" s="266"/>
      <c r="O25" s="266"/>
      <c r="P25" s="266"/>
      <c r="Q25" s="266"/>
      <c r="R25" s="50"/>
      <c r="S25" s="50"/>
      <c r="T25" s="50"/>
    </row>
    <row r="26" spans="1:20" ht="28.5" x14ac:dyDescent="0.2">
      <c r="A26" s="35" t="s">
        <v>19</v>
      </c>
      <c r="B26" s="31" t="s">
        <v>99</v>
      </c>
      <c r="C26" s="36">
        <v>390000</v>
      </c>
      <c r="D26" s="26" t="s">
        <v>91</v>
      </c>
      <c r="E26" s="31" t="s">
        <v>65</v>
      </c>
      <c r="F26" s="37"/>
      <c r="G26" s="48"/>
      <c r="H26" s="53" t="s">
        <v>50</v>
      </c>
      <c r="I26" s="48"/>
      <c r="J26" s="49" t="s">
        <v>208</v>
      </c>
      <c r="K26" s="98"/>
      <c r="L26" s="98"/>
      <c r="M26" s="98"/>
      <c r="N26" s="98"/>
      <c r="O26" s="98"/>
      <c r="P26" s="98"/>
      <c r="Q26" s="98"/>
      <c r="R26" s="50"/>
      <c r="S26" s="50"/>
      <c r="T26" s="50"/>
    </row>
    <row r="27" spans="1:20" ht="57" x14ac:dyDescent="0.2">
      <c r="A27" s="23" t="s">
        <v>20</v>
      </c>
      <c r="B27" s="30" t="s">
        <v>92</v>
      </c>
      <c r="C27" s="28">
        <v>230000</v>
      </c>
      <c r="D27" s="26" t="s">
        <v>218</v>
      </c>
      <c r="E27" s="27" t="s">
        <v>65</v>
      </c>
      <c r="F27" s="28"/>
      <c r="G27" s="48"/>
      <c r="H27" s="53" t="s">
        <v>50</v>
      </c>
      <c r="I27" s="48"/>
      <c r="J27" s="50"/>
      <c r="K27" s="49" t="s">
        <v>130</v>
      </c>
      <c r="L27" s="50"/>
      <c r="M27" s="50"/>
      <c r="N27" s="50"/>
      <c r="O27" s="50"/>
      <c r="P27" s="50"/>
      <c r="Q27" s="50"/>
      <c r="R27" s="50"/>
      <c r="S27" s="50"/>
      <c r="T27" s="50"/>
    </row>
    <row r="28" spans="1:20" ht="71.25" x14ac:dyDescent="0.2">
      <c r="A28" s="23" t="s">
        <v>93</v>
      </c>
      <c r="B28" s="30" t="s">
        <v>94</v>
      </c>
      <c r="C28" s="28">
        <v>350000</v>
      </c>
      <c r="D28" s="26" t="s">
        <v>95</v>
      </c>
      <c r="E28" s="27" t="s">
        <v>65</v>
      </c>
      <c r="F28" s="28"/>
      <c r="G28" s="48"/>
      <c r="H28" s="53"/>
      <c r="I28" s="48"/>
      <c r="J28" s="50"/>
      <c r="K28" s="49" t="s">
        <v>130</v>
      </c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71.25" x14ac:dyDescent="0.2">
      <c r="A29" s="23" t="s">
        <v>96</v>
      </c>
      <c r="B29" s="30" t="s">
        <v>97</v>
      </c>
      <c r="C29" s="28">
        <v>150000</v>
      </c>
      <c r="D29" s="26" t="s">
        <v>98</v>
      </c>
      <c r="E29" s="27" t="s">
        <v>65</v>
      </c>
      <c r="F29" s="28"/>
      <c r="G29" s="48"/>
      <c r="H29" s="53"/>
      <c r="I29" s="48"/>
      <c r="J29" s="50"/>
      <c r="K29" s="49" t="s">
        <v>130</v>
      </c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33" customHeight="1" x14ac:dyDescent="0.2">
      <c r="A30" s="244" t="s">
        <v>100</v>
      </c>
      <c r="B30" s="267" t="s">
        <v>101</v>
      </c>
      <c r="C30" s="253">
        <f>+F30+F31</f>
        <v>275200</v>
      </c>
      <c r="D30" s="28" t="s">
        <v>102</v>
      </c>
      <c r="E30" s="27" t="s">
        <v>65</v>
      </c>
      <c r="F30" s="28">
        <f>+(18350*12)</f>
        <v>220200</v>
      </c>
      <c r="G30" s="48" t="s">
        <v>50</v>
      </c>
      <c r="H30" s="53"/>
      <c r="I30" s="48"/>
      <c r="J30" s="49" t="s">
        <v>128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28.5" customHeight="1" x14ac:dyDescent="0.2">
      <c r="A31" s="246"/>
      <c r="B31" s="268"/>
      <c r="C31" s="255"/>
      <c r="D31" s="28" t="s">
        <v>103</v>
      </c>
      <c r="E31" s="27" t="s">
        <v>65</v>
      </c>
      <c r="F31" s="28">
        <v>55000</v>
      </c>
      <c r="G31" s="48"/>
      <c r="H31" s="53"/>
      <c r="I31" s="48"/>
      <c r="J31" s="49" t="s">
        <v>128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71.25" x14ac:dyDescent="0.2">
      <c r="A32" s="23" t="s">
        <v>21</v>
      </c>
      <c r="B32" s="30" t="s">
        <v>104</v>
      </c>
      <c r="C32" s="28">
        <v>150000</v>
      </c>
      <c r="D32" s="26" t="s">
        <v>221</v>
      </c>
      <c r="E32" s="27" t="s">
        <v>65</v>
      </c>
      <c r="F32" s="28"/>
      <c r="G32" s="48" t="s">
        <v>50</v>
      </c>
      <c r="H32" s="53"/>
      <c r="I32" s="48"/>
      <c r="J32" s="50"/>
      <c r="K32" s="49" t="s">
        <v>130</v>
      </c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57" x14ac:dyDescent="0.2">
      <c r="A33" s="23" t="s">
        <v>22</v>
      </c>
      <c r="B33" s="30" t="s">
        <v>106</v>
      </c>
      <c r="C33" s="28">
        <v>80000</v>
      </c>
      <c r="D33" s="26" t="s">
        <v>107</v>
      </c>
      <c r="E33" s="27" t="s">
        <v>65</v>
      </c>
      <c r="F33" s="28"/>
      <c r="G33" s="48"/>
      <c r="H33" s="53" t="s">
        <v>50</v>
      </c>
      <c r="I33" s="48"/>
      <c r="J33" s="50"/>
      <c r="K33" s="50"/>
      <c r="L33" s="49" t="s">
        <v>130</v>
      </c>
      <c r="M33" s="50"/>
      <c r="N33" s="50"/>
      <c r="O33" s="50"/>
      <c r="P33" s="50"/>
      <c r="Q33" s="50"/>
      <c r="R33" s="50"/>
      <c r="S33" s="50"/>
      <c r="T33" s="50"/>
    </row>
    <row r="34" spans="1:20" ht="71.25" x14ac:dyDescent="0.2">
      <c r="A34" s="23" t="s">
        <v>108</v>
      </c>
      <c r="B34" s="30" t="s">
        <v>109</v>
      </c>
      <c r="C34" s="28">
        <v>20000</v>
      </c>
      <c r="D34" s="26" t="s">
        <v>110</v>
      </c>
      <c r="E34" s="27" t="s">
        <v>65</v>
      </c>
      <c r="F34" s="28"/>
      <c r="G34" s="48"/>
      <c r="H34" s="53"/>
      <c r="I34" s="48"/>
      <c r="J34" s="50"/>
      <c r="K34" s="50"/>
      <c r="L34" s="49" t="s">
        <v>130</v>
      </c>
      <c r="M34" s="50"/>
      <c r="N34" s="50"/>
      <c r="O34" s="50"/>
      <c r="P34" s="50"/>
      <c r="Q34" s="50"/>
      <c r="R34" s="50"/>
      <c r="S34" s="50"/>
      <c r="T34" s="50"/>
    </row>
    <row r="35" spans="1:20" s="75" customFormat="1" ht="99.75" x14ac:dyDescent="0.2">
      <c r="A35" s="83" t="s">
        <v>23</v>
      </c>
      <c r="B35" s="114" t="s">
        <v>111</v>
      </c>
      <c r="C35" s="115">
        <v>20000</v>
      </c>
      <c r="D35" s="116" t="s">
        <v>112</v>
      </c>
      <c r="E35" s="117" t="s">
        <v>65</v>
      </c>
      <c r="F35" s="115"/>
      <c r="G35" s="118" t="s">
        <v>50</v>
      </c>
      <c r="H35" s="119"/>
      <c r="I35" s="118"/>
      <c r="J35" s="120"/>
      <c r="K35" s="120"/>
      <c r="L35" s="54" t="s">
        <v>130</v>
      </c>
      <c r="M35" s="120"/>
      <c r="N35" s="120"/>
      <c r="O35" s="120"/>
      <c r="P35" s="120"/>
      <c r="Q35" s="120"/>
      <c r="R35" s="120"/>
      <c r="S35" s="120"/>
      <c r="T35" s="120"/>
    </row>
    <row r="36" spans="1:20" s="75" customFormat="1" ht="28.5" x14ac:dyDescent="0.2">
      <c r="A36" s="83" t="s">
        <v>113</v>
      </c>
      <c r="B36" s="114" t="s">
        <v>114</v>
      </c>
      <c r="C36" s="115">
        <v>50000</v>
      </c>
      <c r="D36" s="116" t="s">
        <v>222</v>
      </c>
      <c r="E36" s="117" t="s">
        <v>65</v>
      </c>
      <c r="F36" s="115"/>
      <c r="G36" s="118" t="s">
        <v>50</v>
      </c>
      <c r="H36" s="119"/>
      <c r="I36" s="118"/>
      <c r="J36" s="120"/>
      <c r="K36" s="120"/>
      <c r="L36" s="54" t="s">
        <v>130</v>
      </c>
      <c r="M36" s="120"/>
      <c r="N36" s="120"/>
      <c r="O36" s="120"/>
      <c r="P36" s="120"/>
      <c r="Q36" s="120"/>
      <c r="R36" s="120"/>
      <c r="S36" s="120"/>
      <c r="T36" s="120"/>
    </row>
    <row r="37" spans="1:20" ht="15" x14ac:dyDescent="0.25">
      <c r="A37" s="38"/>
      <c r="B37" s="39" t="s">
        <v>51</v>
      </c>
      <c r="C37" s="40">
        <f>SUM(C7:C36)</f>
        <v>6198200</v>
      </c>
      <c r="D37" s="40"/>
      <c r="E37" s="40"/>
      <c r="F37" s="40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</row>
    <row r="38" spans="1:20" s="38" customFormat="1" ht="15" x14ac:dyDescent="0.25">
      <c r="B38" s="39"/>
      <c r="C38" s="41"/>
      <c r="D38" s="41"/>
      <c r="E38" s="41"/>
      <c r="F38" s="41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s="38" customFormat="1" ht="15" x14ac:dyDescent="0.25">
      <c r="B39" s="39"/>
      <c r="C39" s="41">
        <v>750</v>
      </c>
      <c r="D39" s="41"/>
      <c r="E39" s="41"/>
      <c r="F39" s="41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s="38" customFormat="1" ht="15" x14ac:dyDescent="0.25">
      <c r="B40" s="39"/>
      <c r="C40" s="41">
        <v>47</v>
      </c>
      <c r="D40" s="41"/>
      <c r="E40" s="41"/>
      <c r="F40" s="41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s="38" customFormat="1" ht="15" x14ac:dyDescent="0.25">
      <c r="B41" s="39"/>
      <c r="C41" s="41">
        <f>+C39*C40</f>
        <v>35250</v>
      </c>
      <c r="D41" s="41"/>
      <c r="E41" s="41"/>
      <c r="F41" s="41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s="38" customFormat="1" ht="15" x14ac:dyDescent="0.25">
      <c r="B42" s="39"/>
      <c r="C42" s="41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</sheetData>
  <mergeCells count="39">
    <mergeCell ref="J21:Q21"/>
    <mergeCell ref="J22:Q22"/>
    <mergeCell ref="J23:Q23"/>
    <mergeCell ref="J25:Q25"/>
    <mergeCell ref="A30:A31"/>
    <mergeCell ref="B30:B31"/>
    <mergeCell ref="C30:C31"/>
    <mergeCell ref="J24:Q24"/>
    <mergeCell ref="D5:D6"/>
    <mergeCell ref="F5:F6"/>
    <mergeCell ref="C8:C9"/>
    <mergeCell ref="A8:A9"/>
    <mergeCell ref="A10:A12"/>
    <mergeCell ref="B10:B12"/>
    <mergeCell ref="C10:C12"/>
    <mergeCell ref="G5:I5"/>
    <mergeCell ref="G37:T37"/>
    <mergeCell ref="A5:A6"/>
    <mergeCell ref="E5:E6"/>
    <mergeCell ref="B5:B6"/>
    <mergeCell ref="C5:C6"/>
    <mergeCell ref="A14:A16"/>
    <mergeCell ref="B14:B16"/>
    <mergeCell ref="C14:C16"/>
    <mergeCell ref="A17:A20"/>
    <mergeCell ref="B17:B20"/>
    <mergeCell ref="C17:C20"/>
    <mergeCell ref="B8:B9"/>
    <mergeCell ref="J5:J6"/>
    <mergeCell ref="K5:K6"/>
    <mergeCell ref="L5:L6"/>
    <mergeCell ref="Q5:Q6"/>
    <mergeCell ref="R5:R6"/>
    <mergeCell ref="S5:S6"/>
    <mergeCell ref="T5:T6"/>
    <mergeCell ref="M5:M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6"/>
  <sheetViews>
    <sheetView topLeftCell="A12" zoomScaleNormal="100" workbookViewId="0">
      <selection activeCell="B14" sqref="B14:B15"/>
    </sheetView>
  </sheetViews>
  <sheetFormatPr baseColWidth="10" defaultRowHeight="14.25" x14ac:dyDescent="0.2"/>
  <cols>
    <col min="1" max="1" width="8" style="76" customWidth="1"/>
    <col min="2" max="2" width="37.85546875" style="91" customWidth="1"/>
    <col min="3" max="3" width="15.42578125" style="10" customWidth="1"/>
    <col min="4" max="4" width="17.7109375" style="105" customWidth="1"/>
    <col min="5" max="5" width="18" style="105" customWidth="1"/>
    <col min="6" max="6" width="14.140625" style="10" customWidth="1"/>
    <col min="7" max="7" width="9.42578125" style="10" customWidth="1"/>
    <col min="8" max="8" width="19.5703125" style="10" customWidth="1"/>
    <col min="9" max="10" width="12.42578125" style="10" customWidth="1"/>
    <col min="11" max="11" width="10.5703125" style="10" customWidth="1"/>
    <col min="12" max="12" width="11.140625" style="10" customWidth="1"/>
    <col min="13" max="14" width="7.5703125" style="10" customWidth="1"/>
    <col min="15" max="15" width="6.7109375" style="10" customWidth="1"/>
    <col min="16" max="17" width="7.5703125" style="10" customWidth="1"/>
    <col min="18" max="19" width="11" style="10" customWidth="1"/>
    <col min="20" max="20" width="18" style="10" customWidth="1"/>
    <col min="21" max="16384" width="11.42578125" style="10"/>
  </cols>
  <sheetData>
    <row r="1" spans="1:25" ht="15" x14ac:dyDescent="0.25">
      <c r="C1" s="11"/>
      <c r="E1" s="99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5" s="13" customFormat="1" ht="15" x14ac:dyDescent="0.25">
      <c r="A2" s="77"/>
      <c r="B2" s="92"/>
      <c r="C2" s="14"/>
      <c r="D2" s="109"/>
      <c r="E2" s="100"/>
      <c r="F2" s="14"/>
      <c r="G2" s="14"/>
      <c r="H2" s="14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4"/>
      <c r="U2" s="14"/>
      <c r="V2" s="14"/>
      <c r="W2" s="14"/>
      <c r="X2" s="14"/>
      <c r="Y2" s="14"/>
    </row>
    <row r="3" spans="1:25" s="13" customFormat="1" ht="15" x14ac:dyDescent="0.25">
      <c r="A3" s="77"/>
      <c r="B3" s="92"/>
      <c r="C3" s="125">
        <f>+C10/36</f>
        <v>69444.444444444438</v>
      </c>
      <c r="D3" s="126">
        <f>+C10/3</f>
        <v>833333.33333333337</v>
      </c>
      <c r="E3" s="100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4"/>
      <c r="U3" s="14"/>
      <c r="V3" s="14"/>
      <c r="W3" s="14"/>
      <c r="X3" s="14"/>
      <c r="Y3" s="14"/>
    </row>
    <row r="4" spans="1:25" ht="39.75" customHeight="1" x14ac:dyDescent="0.2">
      <c r="A4" s="277" t="s">
        <v>116</v>
      </c>
      <c r="B4" s="280" t="s">
        <v>117</v>
      </c>
      <c r="C4" s="242" t="s">
        <v>115</v>
      </c>
      <c r="D4" s="279" t="s">
        <v>154</v>
      </c>
      <c r="E4" s="269" t="s">
        <v>118</v>
      </c>
      <c r="F4" s="258" t="s">
        <v>56</v>
      </c>
      <c r="G4" s="236" t="s">
        <v>49</v>
      </c>
      <c r="H4" s="237"/>
      <c r="I4" s="238"/>
      <c r="J4" s="234" t="s">
        <v>57</v>
      </c>
      <c r="K4" s="234" t="s">
        <v>58</v>
      </c>
      <c r="L4" s="234" t="s">
        <v>158</v>
      </c>
      <c r="M4" s="234" t="s">
        <v>59</v>
      </c>
      <c r="N4" s="234" t="s">
        <v>60</v>
      </c>
      <c r="O4" s="234" t="s">
        <v>61</v>
      </c>
      <c r="P4" s="234" t="s">
        <v>62</v>
      </c>
      <c r="Q4" s="234" t="s">
        <v>63</v>
      </c>
      <c r="R4" s="234" t="s">
        <v>159</v>
      </c>
      <c r="S4" s="234" t="s">
        <v>160</v>
      </c>
      <c r="T4" s="234" t="s">
        <v>161</v>
      </c>
    </row>
    <row r="5" spans="1:25" ht="23.25" customHeight="1" x14ac:dyDescent="0.2">
      <c r="A5" s="278"/>
      <c r="B5" s="281"/>
      <c r="C5" s="243"/>
      <c r="D5" s="269"/>
      <c r="E5" s="270"/>
      <c r="F5" s="242"/>
      <c r="G5" s="58" t="s">
        <v>155</v>
      </c>
      <c r="H5" s="58" t="s">
        <v>156</v>
      </c>
      <c r="I5" s="58" t="s">
        <v>157</v>
      </c>
      <c r="J5" s="235"/>
      <c r="K5" s="235" t="s">
        <v>58</v>
      </c>
      <c r="L5" s="235" t="s">
        <v>58</v>
      </c>
      <c r="M5" s="235"/>
      <c r="N5" s="235" t="s">
        <v>60</v>
      </c>
      <c r="O5" s="235" t="s">
        <v>61</v>
      </c>
      <c r="P5" s="235" t="s">
        <v>61</v>
      </c>
      <c r="Q5" s="235" t="s">
        <v>63</v>
      </c>
      <c r="R5" s="235" t="s">
        <v>123</v>
      </c>
      <c r="S5" s="235" t="s">
        <v>124</v>
      </c>
      <c r="T5" s="235"/>
    </row>
    <row r="6" spans="1:25" ht="58.5" customHeight="1" x14ac:dyDescent="0.2">
      <c r="A6" s="244" t="s">
        <v>24</v>
      </c>
      <c r="B6" s="247" t="s">
        <v>131</v>
      </c>
      <c r="C6" s="282">
        <f>507228+73464.75</f>
        <v>580692.75</v>
      </c>
      <c r="D6" s="61" t="s">
        <v>166</v>
      </c>
      <c r="E6" s="247" t="s">
        <v>73</v>
      </c>
      <c r="F6" s="63">
        <f>34000*12</f>
        <v>408000</v>
      </c>
      <c r="G6" s="271" t="s">
        <v>169</v>
      </c>
      <c r="H6" s="272"/>
      <c r="I6" s="273"/>
      <c r="J6" s="64"/>
      <c r="K6" s="64"/>
      <c r="L6" s="64"/>
      <c r="M6" s="64"/>
      <c r="N6" s="64"/>
      <c r="O6" s="64"/>
      <c r="P6" s="64"/>
      <c r="Q6" s="64"/>
      <c r="R6" s="64"/>
      <c r="S6" s="64"/>
      <c r="T6" s="65" t="s">
        <v>52</v>
      </c>
    </row>
    <row r="7" spans="1:25" ht="64.5" customHeight="1" x14ac:dyDescent="0.2">
      <c r="A7" s="246"/>
      <c r="B7" s="249"/>
      <c r="C7" s="283"/>
      <c r="D7" s="61" t="s">
        <v>167</v>
      </c>
      <c r="E7" s="249"/>
      <c r="F7" s="66">
        <f>29000*6-1307.25</f>
        <v>172692.75</v>
      </c>
      <c r="G7" s="271" t="s">
        <v>169</v>
      </c>
      <c r="H7" s="272"/>
      <c r="I7" s="273"/>
      <c r="J7" s="67"/>
      <c r="K7" s="64"/>
      <c r="L7" s="64"/>
      <c r="M7" s="64"/>
      <c r="N7" s="64"/>
      <c r="O7" s="64"/>
      <c r="P7" s="64"/>
      <c r="Q7" s="64"/>
      <c r="R7" s="64"/>
      <c r="S7" s="64"/>
      <c r="T7" s="65"/>
    </row>
    <row r="8" spans="1:25" ht="57" x14ac:dyDescent="0.2">
      <c r="A8" s="244" t="s">
        <v>25</v>
      </c>
      <c r="B8" s="247" t="s">
        <v>132</v>
      </c>
      <c r="C8" s="282">
        <f>102409+27238.04</f>
        <v>129647.04000000001</v>
      </c>
      <c r="D8" s="68" t="s">
        <v>162</v>
      </c>
      <c r="E8" s="61" t="s">
        <v>73</v>
      </c>
      <c r="F8" s="63">
        <f>(856+3676)*12+75263.04-36000</f>
        <v>93647.039999999994</v>
      </c>
      <c r="G8" s="274" t="s">
        <v>170</v>
      </c>
      <c r="H8" s="275"/>
      <c r="I8" s="276"/>
      <c r="J8" s="64"/>
      <c r="K8" s="64"/>
      <c r="L8" s="64"/>
      <c r="M8" s="64"/>
      <c r="N8" s="64"/>
      <c r="O8" s="64"/>
      <c r="P8" s="64"/>
      <c r="Q8" s="64"/>
      <c r="R8" s="64"/>
      <c r="S8" s="64"/>
      <c r="T8" s="65" t="s">
        <v>52</v>
      </c>
    </row>
    <row r="9" spans="1:25" ht="28.5" customHeight="1" x14ac:dyDescent="0.2">
      <c r="A9" s="246"/>
      <c r="B9" s="249"/>
      <c r="C9" s="283"/>
      <c r="D9" s="68" t="s">
        <v>200</v>
      </c>
      <c r="E9" s="61" t="s">
        <v>65</v>
      </c>
      <c r="F9" s="63">
        <f>3000*12</f>
        <v>36000</v>
      </c>
      <c r="G9" s="82"/>
      <c r="H9" s="47" t="s">
        <v>50</v>
      </c>
      <c r="I9" s="80"/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</row>
    <row r="10" spans="1:25" ht="42.75" x14ac:dyDescent="0.2">
      <c r="A10" s="23" t="s">
        <v>26</v>
      </c>
      <c r="B10" s="94" t="s">
        <v>133</v>
      </c>
      <c r="C10" s="66">
        <v>2500000</v>
      </c>
      <c r="D10" s="68" t="s">
        <v>171</v>
      </c>
      <c r="E10" s="61" t="s">
        <v>163</v>
      </c>
      <c r="F10" s="66">
        <v>2500000</v>
      </c>
      <c r="G10" s="47" t="s">
        <v>50</v>
      </c>
      <c r="H10" s="70"/>
      <c r="I10" s="69"/>
      <c r="K10" s="69"/>
      <c r="L10" s="49" t="s">
        <v>130</v>
      </c>
      <c r="M10" s="69"/>
      <c r="N10" s="69"/>
      <c r="O10" s="69"/>
      <c r="P10" s="69"/>
      <c r="Q10" s="69"/>
      <c r="R10" s="69"/>
      <c r="S10" s="69"/>
      <c r="T10" s="24"/>
    </row>
    <row r="11" spans="1:25" s="75" customFormat="1" ht="42.75" x14ac:dyDescent="0.2">
      <c r="A11" s="23" t="s">
        <v>164</v>
      </c>
      <c r="B11" s="68" t="s">
        <v>165</v>
      </c>
      <c r="C11" s="71">
        <f>SUM(F11:F17)</f>
        <v>1270000</v>
      </c>
      <c r="D11" s="93" t="s">
        <v>168</v>
      </c>
      <c r="E11" s="127" t="s">
        <v>65</v>
      </c>
      <c r="F11" s="107">
        <f>3800*12</f>
        <v>45600</v>
      </c>
      <c r="G11" s="47" t="s">
        <v>50</v>
      </c>
      <c r="H11" s="72"/>
      <c r="I11" s="73"/>
      <c r="J11" s="54"/>
      <c r="K11" s="49" t="s">
        <v>130</v>
      </c>
      <c r="L11" s="73"/>
      <c r="M11" s="73"/>
      <c r="N11" s="73"/>
      <c r="O11" s="73"/>
      <c r="P11" s="73"/>
      <c r="Q11" s="73"/>
      <c r="R11" s="73"/>
      <c r="S11" s="73"/>
      <c r="T11" s="74"/>
    </row>
    <row r="12" spans="1:25" s="75" customFormat="1" ht="42.75" x14ac:dyDescent="0.2">
      <c r="A12" s="23"/>
      <c r="B12" s="68"/>
      <c r="C12" s="71"/>
      <c r="D12" s="94" t="s">
        <v>173</v>
      </c>
      <c r="E12" s="141" t="s">
        <v>65</v>
      </c>
      <c r="F12" s="71">
        <f>3800*12</f>
        <v>45600</v>
      </c>
      <c r="G12" s="47" t="s">
        <v>50</v>
      </c>
      <c r="H12" s="72"/>
      <c r="I12" s="73"/>
      <c r="J12" s="54"/>
      <c r="K12" s="49" t="s">
        <v>130</v>
      </c>
      <c r="L12" s="73"/>
      <c r="M12" s="73"/>
      <c r="N12" s="73"/>
      <c r="O12" s="73"/>
      <c r="P12" s="73"/>
      <c r="Q12" s="73"/>
      <c r="R12" s="73"/>
      <c r="S12" s="73"/>
      <c r="T12" s="74"/>
    </row>
    <row r="13" spans="1:25" s="75" customFormat="1" ht="42.75" x14ac:dyDescent="0.2">
      <c r="A13" s="23"/>
      <c r="B13" s="68"/>
      <c r="C13" s="71"/>
      <c r="D13" s="94" t="s">
        <v>174</v>
      </c>
      <c r="E13" s="141" t="s">
        <v>65</v>
      </c>
      <c r="F13" s="71">
        <f>3800*12</f>
        <v>45600</v>
      </c>
      <c r="G13" s="47" t="s">
        <v>50</v>
      </c>
      <c r="H13" s="72"/>
      <c r="I13" s="73"/>
      <c r="J13" s="54"/>
      <c r="K13" s="49" t="s">
        <v>130</v>
      </c>
      <c r="L13" s="73"/>
      <c r="M13" s="73"/>
      <c r="N13" s="73"/>
      <c r="O13" s="73"/>
      <c r="P13" s="73"/>
      <c r="Q13" s="73"/>
      <c r="R13" s="73"/>
      <c r="S13" s="73"/>
      <c r="T13" s="74"/>
    </row>
    <row r="14" spans="1:25" s="75" customFormat="1" ht="42.75" x14ac:dyDescent="0.2">
      <c r="A14" s="23"/>
      <c r="B14" s="68"/>
      <c r="C14" s="71">
        <v>200000</v>
      </c>
      <c r="D14" s="94" t="s">
        <v>172</v>
      </c>
      <c r="E14" s="141" t="s">
        <v>210</v>
      </c>
      <c r="F14" s="71">
        <v>300000</v>
      </c>
      <c r="G14" s="59"/>
      <c r="H14" s="47" t="s">
        <v>50</v>
      </c>
      <c r="I14" s="73"/>
      <c r="J14" s="54"/>
      <c r="K14" s="49" t="s">
        <v>130</v>
      </c>
      <c r="L14" s="73"/>
      <c r="M14" s="73"/>
      <c r="N14" s="73"/>
      <c r="O14" s="73"/>
      <c r="P14" s="73"/>
      <c r="Q14" s="73"/>
      <c r="R14" s="73"/>
      <c r="S14" s="73"/>
      <c r="T14" s="74"/>
    </row>
    <row r="15" spans="1:25" s="75" customFormat="1" ht="42.75" x14ac:dyDescent="0.2">
      <c r="A15" s="23"/>
      <c r="B15" s="68"/>
      <c r="C15" s="71"/>
      <c r="D15" s="94" t="s">
        <v>175</v>
      </c>
      <c r="E15" s="141" t="s">
        <v>210</v>
      </c>
      <c r="F15" s="71">
        <f>36000*12+300000</f>
        <v>732000</v>
      </c>
      <c r="G15" s="59"/>
      <c r="H15" s="47" t="s">
        <v>50</v>
      </c>
      <c r="I15" s="73"/>
      <c r="J15" s="54"/>
      <c r="K15" s="49" t="s">
        <v>130</v>
      </c>
      <c r="L15" s="73"/>
      <c r="M15" s="73"/>
      <c r="N15" s="73"/>
      <c r="O15" s="73"/>
      <c r="P15" s="73"/>
      <c r="Q15" s="73"/>
      <c r="R15" s="73"/>
      <c r="S15" s="73"/>
      <c r="T15" s="74"/>
    </row>
    <row r="16" spans="1:25" s="75" customFormat="1" ht="42.75" x14ac:dyDescent="0.2">
      <c r="A16" s="23"/>
      <c r="B16" s="68"/>
      <c r="C16" s="71"/>
      <c r="D16" s="94" t="s">
        <v>223</v>
      </c>
      <c r="E16" s="141" t="s">
        <v>73</v>
      </c>
      <c r="F16" s="71">
        <f>500*12+4000</f>
        <v>10000</v>
      </c>
      <c r="G16" s="59"/>
      <c r="H16" s="47"/>
      <c r="I16" s="73"/>
      <c r="J16" s="54"/>
      <c r="K16" s="49"/>
      <c r="L16" s="73"/>
      <c r="M16" s="73"/>
      <c r="N16" s="73"/>
      <c r="O16" s="73"/>
      <c r="P16" s="73"/>
      <c r="Q16" s="73"/>
      <c r="R16" s="73"/>
      <c r="S16" s="73"/>
      <c r="T16" s="74"/>
    </row>
    <row r="17" spans="1:20" s="75" customFormat="1" ht="42.75" x14ac:dyDescent="0.2">
      <c r="A17" s="23"/>
      <c r="B17" s="68"/>
      <c r="C17" s="71"/>
      <c r="D17" s="94" t="s">
        <v>176</v>
      </c>
      <c r="E17" s="141" t="s">
        <v>65</v>
      </c>
      <c r="F17" s="71">
        <v>91200</v>
      </c>
      <c r="G17" s="47" t="s">
        <v>50</v>
      </c>
      <c r="H17" s="72"/>
      <c r="I17" s="73"/>
      <c r="J17" s="54"/>
      <c r="K17" s="49" t="s">
        <v>130</v>
      </c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44.25" customHeight="1" x14ac:dyDescent="0.2">
      <c r="A18" s="244" t="s">
        <v>27</v>
      </c>
      <c r="B18" s="247" t="s">
        <v>134</v>
      </c>
      <c r="C18" s="282">
        <f>393402-102190.05</f>
        <v>291211.95</v>
      </c>
      <c r="D18" s="68" t="s">
        <v>178</v>
      </c>
      <c r="E18" s="63"/>
      <c r="F18" s="66">
        <f>7000*12+86000</f>
        <v>170000</v>
      </c>
      <c r="G18" s="274" t="s">
        <v>177</v>
      </c>
      <c r="H18" s="275"/>
      <c r="I18" s="276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24"/>
    </row>
    <row r="19" spans="1:20" ht="75.75" customHeight="1" x14ac:dyDescent="0.2">
      <c r="A19" s="246"/>
      <c r="B19" s="249"/>
      <c r="C19" s="283"/>
      <c r="D19" s="68" t="s">
        <v>179</v>
      </c>
      <c r="E19" s="63"/>
      <c r="F19" s="66">
        <v>60000</v>
      </c>
      <c r="G19" s="78"/>
      <c r="H19" s="79"/>
      <c r="I19" s="80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24"/>
    </row>
    <row r="20" spans="1:20" ht="87.75" customHeight="1" x14ac:dyDescent="0.2">
      <c r="A20" s="244" t="s">
        <v>184</v>
      </c>
      <c r="B20" s="247" t="s">
        <v>185</v>
      </c>
      <c r="C20" s="282">
        <f>+F20+F21</f>
        <v>1140000</v>
      </c>
      <c r="D20" s="68" t="s">
        <v>186</v>
      </c>
      <c r="E20" s="63" t="s">
        <v>210</v>
      </c>
      <c r="F20" s="63">
        <f>7000*10*12+150000</f>
        <v>990000</v>
      </c>
      <c r="G20" s="78"/>
      <c r="H20" s="47" t="s">
        <v>50</v>
      </c>
      <c r="I20" s="80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24"/>
    </row>
    <row r="21" spans="1:20" ht="87.75" customHeight="1" x14ac:dyDescent="0.2">
      <c r="A21" s="245"/>
      <c r="B21" s="248"/>
      <c r="C21" s="284"/>
      <c r="D21" s="68" t="s">
        <v>187</v>
      </c>
      <c r="E21" s="63" t="s">
        <v>65</v>
      </c>
      <c r="F21" s="63">
        <v>150000</v>
      </c>
      <c r="G21" s="47" t="s">
        <v>50</v>
      </c>
      <c r="H21" s="79"/>
      <c r="I21" s="80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24"/>
    </row>
    <row r="22" spans="1:20" ht="75.75" customHeight="1" x14ac:dyDescent="0.2">
      <c r="A22" s="23" t="s">
        <v>180</v>
      </c>
      <c r="B22" s="68" t="s">
        <v>181</v>
      </c>
      <c r="C22" s="81">
        <v>100000</v>
      </c>
      <c r="D22" s="68" t="s">
        <v>182</v>
      </c>
      <c r="E22" s="63" t="s">
        <v>65</v>
      </c>
      <c r="F22" s="66"/>
      <c r="G22" s="274" t="s">
        <v>183</v>
      </c>
      <c r="H22" s="275"/>
      <c r="I22" s="276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24"/>
    </row>
    <row r="23" spans="1:20" ht="33" customHeight="1" x14ac:dyDescent="0.2">
      <c r="A23" s="23" t="s">
        <v>188</v>
      </c>
      <c r="B23" s="68" t="s">
        <v>189</v>
      </c>
      <c r="C23" s="66">
        <f>SUM(F23:F28)</f>
        <v>1050000</v>
      </c>
      <c r="D23" s="68" t="s">
        <v>190</v>
      </c>
      <c r="E23" s="63" t="s">
        <v>65</v>
      </c>
      <c r="F23" s="66">
        <v>40000</v>
      </c>
      <c r="G23" s="69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24"/>
    </row>
    <row r="24" spans="1:20" ht="33" customHeight="1" x14ac:dyDescent="0.2">
      <c r="A24" s="23"/>
      <c r="B24" s="68"/>
      <c r="C24" s="66"/>
      <c r="D24" s="68" t="s">
        <v>211</v>
      </c>
      <c r="E24" s="63" t="s">
        <v>65</v>
      </c>
      <c r="F24" s="66">
        <v>40000</v>
      </c>
      <c r="G24" s="69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24"/>
    </row>
    <row r="25" spans="1:20" ht="33" customHeight="1" x14ac:dyDescent="0.2">
      <c r="A25" s="23"/>
      <c r="B25" s="68"/>
      <c r="C25" s="66"/>
      <c r="D25" s="68" t="s">
        <v>199</v>
      </c>
      <c r="E25" s="63" t="s">
        <v>73</v>
      </c>
      <c r="F25" s="66">
        <v>10000</v>
      </c>
      <c r="G25" s="69"/>
      <c r="H25" s="70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24"/>
    </row>
    <row r="26" spans="1:20" ht="33" customHeight="1" x14ac:dyDescent="0.2">
      <c r="A26" s="23"/>
      <c r="B26" s="68"/>
      <c r="C26" s="66"/>
      <c r="D26" s="93" t="s">
        <v>214</v>
      </c>
      <c r="E26" s="122" t="s">
        <v>65</v>
      </c>
      <c r="F26" s="107">
        <v>100000</v>
      </c>
      <c r="G26" s="69"/>
      <c r="H26" s="70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24"/>
    </row>
    <row r="27" spans="1:20" ht="57" customHeight="1" x14ac:dyDescent="0.2">
      <c r="A27" s="23"/>
      <c r="B27" s="68"/>
      <c r="C27" s="66"/>
      <c r="D27" s="68" t="s">
        <v>220</v>
      </c>
      <c r="E27" s="63" t="s">
        <v>65</v>
      </c>
      <c r="F27" s="66">
        <f>15000*12</f>
        <v>180000</v>
      </c>
      <c r="G27" s="69"/>
      <c r="H27" s="70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24"/>
    </row>
    <row r="28" spans="1:20" ht="57" customHeight="1" x14ac:dyDescent="0.2">
      <c r="A28" s="23"/>
      <c r="B28" s="68"/>
      <c r="C28" s="66"/>
      <c r="D28" s="68" t="s">
        <v>219</v>
      </c>
      <c r="E28" s="102" t="s">
        <v>73</v>
      </c>
      <c r="F28" s="66">
        <v>680000</v>
      </c>
      <c r="G28" s="69"/>
      <c r="H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24"/>
    </row>
    <row r="29" spans="1:20" ht="28.5" x14ac:dyDescent="0.2">
      <c r="A29" s="245" t="s">
        <v>28</v>
      </c>
      <c r="B29" s="248" t="s">
        <v>193</v>
      </c>
      <c r="C29" s="284">
        <f>+F29+F30</f>
        <v>603120</v>
      </c>
      <c r="D29" s="68" t="s">
        <v>191</v>
      </c>
      <c r="E29" s="102" t="s">
        <v>73</v>
      </c>
      <c r="F29" s="66">
        <f>41760*12</f>
        <v>501120</v>
      </c>
      <c r="G29" s="69"/>
      <c r="H29" s="113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24"/>
    </row>
    <row r="30" spans="1:20" ht="42.75" x14ac:dyDescent="0.2">
      <c r="A30" s="246"/>
      <c r="B30" s="249"/>
      <c r="C30" s="283"/>
      <c r="D30" s="68" t="s">
        <v>192</v>
      </c>
      <c r="E30" s="102" t="s">
        <v>73</v>
      </c>
      <c r="F30" s="66">
        <f>500*17*12</f>
        <v>102000</v>
      </c>
      <c r="G30" s="69"/>
      <c r="H30" s="70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24"/>
    </row>
    <row r="31" spans="1:20" ht="57" x14ac:dyDescent="0.2">
      <c r="A31" s="23" t="s">
        <v>29</v>
      </c>
      <c r="B31" s="68" t="s">
        <v>135</v>
      </c>
      <c r="C31" s="66">
        <f>SUM(F31:F35)</f>
        <v>2420000</v>
      </c>
      <c r="D31" s="68" t="s">
        <v>195</v>
      </c>
      <c r="E31" s="63"/>
      <c r="F31" s="66">
        <f>70000*12+10000</f>
        <v>850000</v>
      </c>
      <c r="G31" s="69" t="s">
        <v>50</v>
      </c>
      <c r="H31" s="70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24"/>
    </row>
    <row r="32" spans="1:20" ht="28.5" x14ac:dyDescent="0.2">
      <c r="A32" s="23"/>
      <c r="B32" s="68"/>
      <c r="C32" s="66"/>
      <c r="D32" s="68" t="s">
        <v>212</v>
      </c>
      <c r="E32" s="63"/>
      <c r="F32" s="66">
        <v>300000</v>
      </c>
      <c r="G32" s="69"/>
      <c r="H32" s="70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24"/>
    </row>
    <row r="33" spans="1:23" ht="57" x14ac:dyDescent="0.2">
      <c r="A33" s="23"/>
      <c r="B33" s="68"/>
      <c r="C33" s="66"/>
      <c r="D33" s="68" t="s">
        <v>213</v>
      </c>
      <c r="E33" s="63"/>
      <c r="F33" s="66">
        <v>700000</v>
      </c>
      <c r="G33" s="69"/>
      <c r="H33" s="70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24"/>
    </row>
    <row r="34" spans="1:23" ht="57" x14ac:dyDescent="0.2">
      <c r="A34" s="23"/>
      <c r="B34" s="68"/>
      <c r="C34" s="66"/>
      <c r="D34" s="68" t="s">
        <v>194</v>
      </c>
      <c r="E34" s="63"/>
      <c r="F34" s="66">
        <v>375000</v>
      </c>
      <c r="G34" s="69"/>
      <c r="H34" s="70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24"/>
    </row>
    <row r="35" spans="1:23" ht="42.75" x14ac:dyDescent="0.2">
      <c r="A35" s="23"/>
      <c r="B35" s="68"/>
      <c r="C35" s="66"/>
      <c r="D35" s="68" t="s">
        <v>201</v>
      </c>
      <c r="E35" s="63"/>
      <c r="F35" s="66">
        <v>195000</v>
      </c>
      <c r="G35" s="69"/>
      <c r="H35" s="70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24"/>
    </row>
    <row r="36" spans="1:23" ht="28.5" x14ac:dyDescent="0.2">
      <c r="A36" s="23" t="s">
        <v>224</v>
      </c>
      <c r="B36" s="68" t="s">
        <v>225</v>
      </c>
      <c r="C36" s="66">
        <v>400000</v>
      </c>
      <c r="D36" s="68"/>
      <c r="E36" s="63"/>
      <c r="F36" s="66"/>
      <c r="G36" s="69"/>
      <c r="H36" s="72"/>
      <c r="I36" s="73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24"/>
    </row>
    <row r="37" spans="1:23" ht="42.75" x14ac:dyDescent="0.2">
      <c r="A37" s="23" t="s">
        <v>30</v>
      </c>
      <c r="B37" s="68" t="s">
        <v>136</v>
      </c>
      <c r="C37" s="107">
        <f>+F37+F39+F38</f>
        <v>18000000</v>
      </c>
      <c r="D37" s="68" t="s">
        <v>236</v>
      </c>
      <c r="E37" s="101" t="s">
        <v>196</v>
      </c>
      <c r="F37" s="107">
        <v>4200000</v>
      </c>
      <c r="G37" s="69" t="s">
        <v>50</v>
      </c>
      <c r="H37" s="128"/>
      <c r="I37" s="181"/>
      <c r="J37" s="106"/>
      <c r="K37" s="97"/>
      <c r="L37" s="69"/>
      <c r="M37" s="69"/>
      <c r="N37" s="69"/>
      <c r="O37" s="69"/>
      <c r="P37" s="69"/>
      <c r="Q37" s="69"/>
      <c r="R37" s="69"/>
      <c r="S37" s="69"/>
      <c r="T37" s="24"/>
    </row>
    <row r="38" spans="1:23" ht="28.5" x14ac:dyDescent="0.2">
      <c r="A38" s="23"/>
      <c r="B38" s="68"/>
      <c r="C38" s="66"/>
      <c r="D38" s="68" t="s">
        <v>237</v>
      </c>
      <c r="E38" s="101"/>
      <c r="F38" s="107">
        <v>1800000</v>
      </c>
      <c r="G38" s="69"/>
      <c r="H38" s="128"/>
      <c r="I38" s="181"/>
      <c r="J38" s="106"/>
      <c r="K38" s="97"/>
      <c r="L38" s="69"/>
      <c r="M38" s="69"/>
      <c r="N38" s="69"/>
      <c r="O38" s="69"/>
      <c r="P38" s="69"/>
      <c r="Q38" s="69"/>
      <c r="R38" s="69"/>
      <c r="S38" s="69"/>
      <c r="T38" s="24"/>
    </row>
    <row r="39" spans="1:23" ht="28.5" x14ac:dyDescent="0.2">
      <c r="A39" s="23"/>
      <c r="B39" s="68"/>
      <c r="C39" s="66"/>
      <c r="D39" s="68" t="s">
        <v>197</v>
      </c>
      <c r="E39" s="102" t="s">
        <v>198</v>
      </c>
      <c r="F39" s="107">
        <v>12000000</v>
      </c>
      <c r="G39" s="69"/>
      <c r="H39" s="128"/>
      <c r="I39" s="181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24"/>
    </row>
    <row r="40" spans="1:23" ht="25.5" customHeight="1" x14ac:dyDescent="0.2">
      <c r="A40" s="23" t="s">
        <v>31</v>
      </c>
      <c r="B40" s="68" t="s">
        <v>137</v>
      </c>
      <c r="C40" s="66">
        <v>500000</v>
      </c>
      <c r="D40" s="110"/>
      <c r="E40" s="102"/>
      <c r="F40" s="66"/>
      <c r="G40" s="69" t="s">
        <v>50</v>
      </c>
      <c r="H40" s="128"/>
      <c r="I40" s="181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24"/>
    </row>
    <row r="41" spans="1:23" ht="25.5" customHeight="1" x14ac:dyDescent="0.2">
      <c r="A41" s="23" t="s">
        <v>32</v>
      </c>
      <c r="B41" s="68" t="s">
        <v>226</v>
      </c>
      <c r="C41" s="66">
        <f>13283177.68-100000+510000+170000+160400-350000+1000000-2400000-100000+80000-2000000-50000</f>
        <v>10203577.68</v>
      </c>
      <c r="D41" s="110"/>
      <c r="E41" s="63"/>
      <c r="F41" s="66"/>
      <c r="G41" s="69"/>
      <c r="H41" s="128"/>
      <c r="I41" s="73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24"/>
    </row>
    <row r="42" spans="1:23" ht="42.75" x14ac:dyDescent="0.2">
      <c r="A42" s="23" t="s">
        <v>205</v>
      </c>
      <c r="B42" s="68" t="s">
        <v>206</v>
      </c>
      <c r="C42" s="63">
        <v>415000</v>
      </c>
      <c r="D42" s="68" t="s">
        <v>207</v>
      </c>
      <c r="E42" s="63"/>
      <c r="F42" s="66"/>
      <c r="G42" s="69" t="s">
        <v>50</v>
      </c>
      <c r="H42" s="128"/>
      <c r="I42" s="73"/>
      <c r="J42" s="97"/>
      <c r="K42" s="69"/>
      <c r="L42" s="69"/>
      <c r="M42" s="69"/>
      <c r="N42" s="69"/>
      <c r="O42" s="69"/>
      <c r="P42" s="69"/>
      <c r="Q42" s="69"/>
      <c r="R42" s="69"/>
      <c r="S42" s="69"/>
      <c r="T42" s="65" t="s">
        <v>53</v>
      </c>
    </row>
    <row r="43" spans="1:23" ht="30.75" customHeight="1" x14ac:dyDescent="0.2">
      <c r="A43" s="23" t="s">
        <v>33</v>
      </c>
      <c r="B43" s="68" t="s">
        <v>138</v>
      </c>
      <c r="C43" s="66">
        <f>(35078.4+19731.6)*24+100000</f>
        <v>1415440</v>
      </c>
      <c r="D43" s="23"/>
      <c r="E43" s="63"/>
      <c r="F43" s="66"/>
      <c r="G43" s="69" t="s">
        <v>50</v>
      </c>
      <c r="H43" s="182"/>
      <c r="I43" s="73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24"/>
    </row>
    <row r="44" spans="1:23" ht="28.5" x14ac:dyDescent="0.2">
      <c r="A44" s="83" t="s">
        <v>34</v>
      </c>
      <c r="B44" s="94" t="s">
        <v>139</v>
      </c>
      <c r="C44" s="71">
        <v>200000</v>
      </c>
      <c r="D44" s="83"/>
      <c r="E44" s="103"/>
      <c r="F44" s="71"/>
      <c r="G44" s="73"/>
      <c r="H44" s="128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84" t="s">
        <v>54</v>
      </c>
      <c r="U44" s="75"/>
      <c r="V44" s="75"/>
      <c r="W44" s="75"/>
    </row>
    <row r="45" spans="1:23" ht="22.5" customHeight="1" x14ac:dyDescent="0.2">
      <c r="A45" s="83" t="s">
        <v>35</v>
      </c>
      <c r="B45" s="94" t="s">
        <v>140</v>
      </c>
      <c r="C45" s="71">
        <v>200000</v>
      </c>
      <c r="D45" s="83"/>
      <c r="E45" s="103"/>
      <c r="F45" s="71"/>
      <c r="G45" s="73" t="s">
        <v>50</v>
      </c>
      <c r="H45" s="128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/>
      <c r="U45" s="75"/>
      <c r="V45" s="75"/>
      <c r="W45" s="75"/>
    </row>
    <row r="46" spans="1:23" ht="28.5" x14ac:dyDescent="0.2">
      <c r="A46" s="83" t="s">
        <v>36</v>
      </c>
      <c r="B46" s="94" t="s">
        <v>141</v>
      </c>
      <c r="C46" s="71">
        <v>12000000</v>
      </c>
      <c r="D46" s="83"/>
      <c r="E46" s="103"/>
      <c r="F46" s="71"/>
      <c r="G46" s="73" t="s">
        <v>50</v>
      </c>
      <c r="H46" s="128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4"/>
      <c r="U46" s="75"/>
      <c r="V46" s="75"/>
      <c r="W46" s="75"/>
    </row>
    <row r="47" spans="1:23" ht="57" x14ac:dyDescent="0.2">
      <c r="A47" s="83" t="s">
        <v>37</v>
      </c>
      <c r="B47" s="94" t="s">
        <v>142</v>
      </c>
      <c r="C47" s="71">
        <f>25984+105598.51+50000</f>
        <v>181582.51</v>
      </c>
      <c r="D47" s="83"/>
      <c r="E47" s="103"/>
      <c r="F47" s="71"/>
      <c r="G47" s="73"/>
      <c r="H47" s="72" t="s">
        <v>50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4"/>
      <c r="U47" s="75"/>
      <c r="V47" s="75"/>
      <c r="W47" s="75"/>
    </row>
    <row r="48" spans="1:23" ht="42.75" x14ac:dyDescent="0.2">
      <c r="A48" s="83" t="s">
        <v>38</v>
      </c>
      <c r="B48" s="94" t="s">
        <v>143</v>
      </c>
      <c r="C48" s="71">
        <f>54118+50233.53</f>
        <v>104351.53</v>
      </c>
      <c r="D48" s="111"/>
      <c r="E48" s="63"/>
      <c r="F48" s="66"/>
      <c r="G48" s="69" t="s">
        <v>50</v>
      </c>
      <c r="H48" s="70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24"/>
    </row>
    <row r="49" spans="1:20" ht="28.5" x14ac:dyDescent="0.2">
      <c r="A49" s="83" t="s">
        <v>39</v>
      </c>
      <c r="B49" s="94" t="s">
        <v>144</v>
      </c>
      <c r="C49" s="71">
        <f>318895+165809.77+300000</f>
        <v>784704.77</v>
      </c>
      <c r="D49" s="23"/>
      <c r="E49" s="63"/>
      <c r="F49" s="66"/>
      <c r="G49" s="69"/>
      <c r="H49" s="70" t="s">
        <v>50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24"/>
    </row>
    <row r="50" spans="1:20" ht="28.5" x14ac:dyDescent="0.2">
      <c r="A50" s="83" t="s">
        <v>40</v>
      </c>
      <c r="B50" s="94" t="s">
        <v>145</v>
      </c>
      <c r="C50" s="71">
        <v>1500000</v>
      </c>
      <c r="D50" s="112"/>
      <c r="E50" s="63"/>
      <c r="F50" s="66"/>
      <c r="G50" s="69" t="s">
        <v>50</v>
      </c>
      <c r="H50" s="70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24"/>
    </row>
    <row r="51" spans="1:20" ht="57" x14ac:dyDescent="0.2">
      <c r="A51" s="83" t="s">
        <v>41</v>
      </c>
      <c r="B51" s="94" t="s">
        <v>146</v>
      </c>
      <c r="C51" s="107">
        <v>11000000</v>
      </c>
      <c r="D51" s="112"/>
      <c r="E51" s="63"/>
      <c r="F51" s="66"/>
      <c r="G51" s="69" t="s">
        <v>50</v>
      </c>
      <c r="H51" s="70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24"/>
    </row>
    <row r="52" spans="1:20" ht="42.75" x14ac:dyDescent="0.2">
      <c r="A52" s="83" t="s">
        <v>42</v>
      </c>
      <c r="B52" s="94" t="s">
        <v>147</v>
      </c>
      <c r="C52" s="107">
        <v>1000000</v>
      </c>
      <c r="D52" s="23"/>
      <c r="E52" s="63"/>
      <c r="F52" s="66"/>
      <c r="G52" s="69"/>
      <c r="H52" s="70" t="s">
        <v>50</v>
      </c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24"/>
    </row>
    <row r="53" spans="1:20" ht="24.75" customHeight="1" x14ac:dyDescent="0.2">
      <c r="A53" s="83" t="s">
        <v>43</v>
      </c>
      <c r="B53" s="94" t="s">
        <v>148</v>
      </c>
      <c r="C53" s="71">
        <f>225351+210260.32</f>
        <v>435611.32</v>
      </c>
      <c r="D53" s="23"/>
      <c r="E53" s="63"/>
      <c r="F53" s="66"/>
      <c r="G53" s="69"/>
      <c r="H53" s="70" t="s">
        <v>50</v>
      </c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24"/>
    </row>
    <row r="54" spans="1:20" s="75" customFormat="1" ht="28.5" x14ac:dyDescent="0.2">
      <c r="A54" s="83" t="s">
        <v>44</v>
      </c>
      <c r="B54" s="94" t="s">
        <v>149</v>
      </c>
      <c r="C54" s="71">
        <f>4800+83682.51+100000</f>
        <v>188482.51</v>
      </c>
      <c r="D54" s="83"/>
      <c r="E54" s="103"/>
      <c r="F54" s="71"/>
      <c r="G54" s="73"/>
      <c r="H54" s="72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84" t="s">
        <v>54</v>
      </c>
    </row>
    <row r="55" spans="1:20" s="75" customFormat="1" ht="28.5" x14ac:dyDescent="0.2">
      <c r="A55" s="83" t="s">
        <v>45</v>
      </c>
      <c r="B55" s="94" t="s">
        <v>150</v>
      </c>
      <c r="C55" s="71">
        <v>667083</v>
      </c>
      <c r="D55" s="83"/>
      <c r="E55" s="103"/>
      <c r="F55" s="71"/>
      <c r="G55" s="73"/>
      <c r="H55" s="72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84" t="s">
        <v>54</v>
      </c>
    </row>
    <row r="56" spans="1:20" s="75" customFormat="1" ht="23.25" customHeight="1" x14ac:dyDescent="0.2">
      <c r="A56" s="83" t="s">
        <v>46</v>
      </c>
      <c r="B56" s="94" t="s">
        <v>151</v>
      </c>
      <c r="C56" s="71">
        <v>1200000</v>
      </c>
      <c r="D56" s="83"/>
      <c r="E56" s="103"/>
      <c r="F56" s="71"/>
      <c r="G56" s="73" t="s">
        <v>50</v>
      </c>
      <c r="H56" s="72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</row>
    <row r="57" spans="1:20" s="75" customFormat="1" ht="28.5" x14ac:dyDescent="0.2">
      <c r="A57" s="83" t="s">
        <v>47</v>
      </c>
      <c r="B57" s="94" t="s">
        <v>152</v>
      </c>
      <c r="C57" s="71">
        <v>1000000</v>
      </c>
      <c r="D57" s="83"/>
      <c r="E57" s="103"/>
      <c r="F57" s="71"/>
      <c r="G57" s="73"/>
      <c r="H57" s="72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84" t="s">
        <v>54</v>
      </c>
    </row>
    <row r="58" spans="1:20" s="75" customFormat="1" ht="28.5" x14ac:dyDescent="0.2">
      <c r="A58" s="83" t="s">
        <v>202</v>
      </c>
      <c r="B58" s="94" t="s">
        <v>203</v>
      </c>
      <c r="C58" s="71">
        <f>74700*12*41+4000000</f>
        <v>40752400</v>
      </c>
      <c r="D58" s="129"/>
      <c r="E58" s="103"/>
      <c r="F58" s="71"/>
      <c r="G58" s="73"/>
      <c r="H58" s="72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84"/>
    </row>
    <row r="59" spans="1:20" s="75" customFormat="1" ht="28.5" x14ac:dyDescent="0.2">
      <c r="A59" s="83" t="s">
        <v>48</v>
      </c>
      <c r="B59" s="94" t="s">
        <v>153</v>
      </c>
      <c r="C59" s="71">
        <v>3500000</v>
      </c>
      <c r="D59" s="129"/>
      <c r="E59" s="103"/>
      <c r="F59" s="71"/>
      <c r="G59" s="73"/>
      <c r="H59" s="72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84" t="s">
        <v>54</v>
      </c>
    </row>
    <row r="60" spans="1:20" s="75" customFormat="1" ht="15" x14ac:dyDescent="0.25">
      <c r="A60" s="83"/>
      <c r="B60" s="94"/>
      <c r="C60" s="85">
        <f>SUM(C5:C59)</f>
        <v>115932905.06</v>
      </c>
      <c r="D60" s="83"/>
      <c r="E60" s="104"/>
      <c r="F60" s="85"/>
      <c r="G60" s="73"/>
      <c r="H60" s="72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4"/>
    </row>
    <row r="61" spans="1:20" x14ac:dyDescent="0.2">
      <c r="D61" s="123"/>
    </row>
    <row r="62" spans="1:20" x14ac:dyDescent="0.2">
      <c r="C62" s="86">
        <f>+resumen!B12</f>
        <v>0</v>
      </c>
      <c r="D62" s="123">
        <v>10000</v>
      </c>
    </row>
    <row r="63" spans="1:20" x14ac:dyDescent="0.2">
      <c r="B63" s="95"/>
      <c r="D63" s="123"/>
    </row>
    <row r="64" spans="1:20" x14ac:dyDescent="0.2">
      <c r="B64" s="96"/>
      <c r="D64" s="123"/>
    </row>
    <row r="65" spans="3:6" x14ac:dyDescent="0.2">
      <c r="C65" s="10">
        <v>173</v>
      </c>
      <c r="D65" s="123"/>
      <c r="E65" s="124"/>
    </row>
    <row r="66" spans="3:6" x14ac:dyDescent="0.2">
      <c r="C66" s="87">
        <f>+C65*30.4</f>
        <v>5259.2</v>
      </c>
      <c r="F66" s="87"/>
    </row>
  </sheetData>
  <mergeCells count="39">
    <mergeCell ref="A29:A30"/>
    <mergeCell ref="B29:B30"/>
    <mergeCell ref="C29:C30"/>
    <mergeCell ref="A8:A9"/>
    <mergeCell ref="B8:B9"/>
    <mergeCell ref="C8:C9"/>
    <mergeCell ref="G18:I18"/>
    <mergeCell ref="A18:A19"/>
    <mergeCell ref="B18:B19"/>
    <mergeCell ref="C18:C19"/>
    <mergeCell ref="G22:I22"/>
    <mergeCell ref="B20:B21"/>
    <mergeCell ref="A20:A21"/>
    <mergeCell ref="C20:C21"/>
    <mergeCell ref="G6:I6"/>
    <mergeCell ref="G8:I8"/>
    <mergeCell ref="A4:A5"/>
    <mergeCell ref="D4:D5"/>
    <mergeCell ref="B4:B5"/>
    <mergeCell ref="C4:C5"/>
    <mergeCell ref="G4:I4"/>
    <mergeCell ref="E6:E7"/>
    <mergeCell ref="C6:C7"/>
    <mergeCell ref="B6:B7"/>
    <mergeCell ref="A6:A7"/>
    <mergeCell ref="G7:I7"/>
    <mergeCell ref="T4:T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2"/>
  <sheetViews>
    <sheetView topLeftCell="B15" zoomScaleNormal="100" workbookViewId="0">
      <selection activeCell="D19" sqref="D19:F20"/>
    </sheetView>
  </sheetViews>
  <sheetFormatPr baseColWidth="10" defaultRowHeight="15" x14ac:dyDescent="0.25"/>
  <cols>
    <col min="1" max="1" width="8" customWidth="1"/>
    <col min="2" max="2" width="36.85546875" customWidth="1"/>
    <col min="3" max="3" width="19.42578125" customWidth="1"/>
    <col min="4" max="4" width="15.85546875" customWidth="1"/>
    <col min="5" max="5" width="19.28515625" customWidth="1"/>
    <col min="6" max="6" width="18" customWidth="1"/>
    <col min="7" max="7" width="14.140625" customWidth="1"/>
    <col min="8" max="8" width="14.5703125" customWidth="1"/>
    <col min="9" max="9" width="9.42578125" customWidth="1"/>
    <col min="10" max="10" width="9.28515625" customWidth="1"/>
    <col min="11" max="11" width="7.5703125" customWidth="1"/>
    <col min="12" max="12" width="10.7109375" bestFit="1" customWidth="1"/>
    <col min="13" max="13" width="10.5703125" customWidth="1"/>
    <col min="14" max="16" width="7.5703125" customWidth="1"/>
    <col min="17" max="17" width="6.7109375" customWidth="1"/>
    <col min="18" max="19" width="7.5703125" customWidth="1"/>
    <col min="20" max="21" width="11" customWidth="1"/>
    <col min="22" max="22" width="18" customWidth="1"/>
  </cols>
  <sheetData>
    <row r="1" spans="1:27" x14ac:dyDescent="0.25">
      <c r="D1" s="5"/>
      <c r="E1" s="5"/>
      <c r="F1" s="5"/>
      <c r="G1" s="5"/>
      <c r="H1" s="5"/>
      <c r="I1" s="5"/>
      <c r="J1" s="5"/>
      <c r="K1" s="5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7" s="6" customFormat="1" x14ac:dyDescent="0.25">
      <c r="D2" s="8"/>
      <c r="E2" s="8"/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8"/>
      <c r="X2" s="8"/>
      <c r="Y2" s="8"/>
      <c r="Z2" s="8"/>
      <c r="AA2" s="8"/>
    </row>
    <row r="3" spans="1:27" s="6" customFormat="1" x14ac:dyDescent="0.25">
      <c r="D3" s="8"/>
      <c r="E3" s="8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</row>
    <row r="6" spans="1:27" s="10" customFormat="1" ht="39.75" customHeight="1" x14ac:dyDescent="0.2">
      <c r="A6" s="277" t="s">
        <v>116</v>
      </c>
      <c r="B6" s="277" t="s">
        <v>117</v>
      </c>
      <c r="C6" s="242" t="s">
        <v>115</v>
      </c>
      <c r="D6" s="279" t="s">
        <v>154</v>
      </c>
      <c r="E6" s="270" t="s">
        <v>118</v>
      </c>
      <c r="F6" s="258" t="s">
        <v>56</v>
      </c>
      <c r="G6" s="236" t="s">
        <v>49</v>
      </c>
      <c r="H6" s="237"/>
      <c r="I6" s="238"/>
      <c r="J6" s="234" t="s">
        <v>57</v>
      </c>
      <c r="K6" s="234" t="s">
        <v>58</v>
      </c>
      <c r="L6" s="234" t="s">
        <v>158</v>
      </c>
      <c r="M6" s="234" t="s">
        <v>59</v>
      </c>
      <c r="N6" s="234" t="s">
        <v>60</v>
      </c>
      <c r="O6" s="234" t="s">
        <v>61</v>
      </c>
      <c r="P6" s="234" t="s">
        <v>62</v>
      </c>
      <c r="Q6" s="234" t="s">
        <v>63</v>
      </c>
      <c r="R6" s="234" t="s">
        <v>159</v>
      </c>
      <c r="S6" s="234" t="s">
        <v>160</v>
      </c>
      <c r="T6" s="234" t="s">
        <v>161</v>
      </c>
    </row>
    <row r="7" spans="1:27" s="10" customFormat="1" ht="23.25" customHeight="1" x14ac:dyDescent="0.2">
      <c r="A7" s="278"/>
      <c r="B7" s="278"/>
      <c r="C7" s="243"/>
      <c r="D7" s="269"/>
      <c r="E7" s="270"/>
      <c r="F7" s="242"/>
      <c r="G7" s="60" t="s">
        <v>155</v>
      </c>
      <c r="H7" s="60" t="s">
        <v>156</v>
      </c>
      <c r="I7" s="60" t="s">
        <v>157</v>
      </c>
      <c r="J7" s="235"/>
      <c r="K7" s="235" t="s">
        <v>58</v>
      </c>
      <c r="L7" s="235" t="s">
        <v>58</v>
      </c>
      <c r="M7" s="235"/>
      <c r="N7" s="235" t="s">
        <v>60</v>
      </c>
      <c r="O7" s="235" t="s">
        <v>61</v>
      </c>
      <c r="P7" s="235" t="s">
        <v>61</v>
      </c>
      <c r="Q7" s="235" t="s">
        <v>63</v>
      </c>
      <c r="R7" s="235" t="s">
        <v>123</v>
      </c>
      <c r="S7" s="235" t="s">
        <v>124</v>
      </c>
      <c r="T7" s="235"/>
    </row>
    <row r="8" spans="1:27" s="10" customFormat="1" ht="23.25" customHeight="1" x14ac:dyDescent="0.25">
      <c r="A8" s="150" t="s">
        <v>280</v>
      </c>
      <c r="B8" s="3" t="s">
        <v>281</v>
      </c>
      <c r="C8" s="148"/>
      <c r="D8" s="3" t="s">
        <v>282</v>
      </c>
      <c r="E8" s="151"/>
      <c r="F8" s="148"/>
      <c r="G8" s="169"/>
      <c r="H8" s="169"/>
      <c r="I8" s="169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75"/>
    </row>
    <row r="9" spans="1:27" s="10" customFormat="1" ht="23.25" customHeight="1" x14ac:dyDescent="0.2">
      <c r="A9" s="147"/>
      <c r="B9" s="147"/>
      <c r="C9" s="148"/>
      <c r="D9" s="152"/>
      <c r="E9" s="151"/>
      <c r="F9" s="149"/>
      <c r="G9" s="169"/>
      <c r="H9" s="169"/>
      <c r="I9" s="169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75"/>
    </row>
    <row r="10" spans="1:27" s="10" customFormat="1" ht="23.25" customHeight="1" x14ac:dyDescent="0.2">
      <c r="A10" s="147"/>
      <c r="B10" s="147"/>
      <c r="C10" s="148"/>
      <c r="D10" s="152"/>
      <c r="E10" s="151"/>
      <c r="F10" s="149"/>
      <c r="G10" s="169"/>
      <c r="H10" s="169"/>
      <c r="I10" s="169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75"/>
    </row>
    <row r="11" spans="1:27" ht="30" x14ac:dyDescent="0.25">
      <c r="A11" s="2" t="s">
        <v>250</v>
      </c>
      <c r="B11" s="3" t="s">
        <v>251</v>
      </c>
      <c r="C11" s="144">
        <f>SUM(F11:F20)</f>
        <v>3245000</v>
      </c>
      <c r="D11" s="3" t="s">
        <v>252</v>
      </c>
      <c r="E11" s="285" t="s">
        <v>267</v>
      </c>
      <c r="F11" s="4">
        <f>13000*41</f>
        <v>533000</v>
      </c>
    </row>
    <row r="12" spans="1:27" ht="30" x14ac:dyDescent="0.25">
      <c r="A12" s="2"/>
      <c r="B12" s="2"/>
      <c r="C12" s="2"/>
      <c r="D12" s="3" t="s">
        <v>277</v>
      </c>
      <c r="E12" s="285"/>
      <c r="F12" s="4">
        <f>12500*40</f>
        <v>500000</v>
      </c>
    </row>
    <row r="13" spans="1:27" ht="30" x14ac:dyDescent="0.25">
      <c r="A13" s="2"/>
      <c r="B13" s="2"/>
      <c r="C13" s="2"/>
      <c r="D13" s="3" t="s">
        <v>253</v>
      </c>
      <c r="E13" s="285"/>
      <c r="F13" s="4">
        <f>10000*41</f>
        <v>410000</v>
      </c>
    </row>
    <row r="14" spans="1:27" ht="45" x14ac:dyDescent="0.25">
      <c r="A14" s="2"/>
      <c r="B14" s="2"/>
      <c r="C14" s="2"/>
      <c r="D14" s="3" t="s">
        <v>264</v>
      </c>
      <c r="E14" s="285"/>
      <c r="F14" s="4">
        <f>12000*30</f>
        <v>360000</v>
      </c>
    </row>
    <row r="15" spans="1:27" ht="45" x14ac:dyDescent="0.25">
      <c r="A15" s="2"/>
      <c r="B15" s="2"/>
      <c r="C15" s="2"/>
      <c r="D15" s="3" t="s">
        <v>254</v>
      </c>
      <c r="E15" s="285"/>
      <c r="F15" s="4">
        <f>315000*4</f>
        <v>1260000</v>
      </c>
    </row>
    <row r="16" spans="1:27" ht="30" x14ac:dyDescent="0.25">
      <c r="A16" s="2"/>
      <c r="B16" s="2"/>
      <c r="C16" s="2"/>
      <c r="D16" s="3" t="s">
        <v>255</v>
      </c>
      <c r="E16" s="285"/>
      <c r="F16" s="4">
        <v>26000</v>
      </c>
    </row>
    <row r="17" spans="1:6" ht="30" x14ac:dyDescent="0.25">
      <c r="A17" s="2"/>
      <c r="B17" s="2"/>
      <c r="C17" s="2"/>
      <c r="D17" s="3" t="s">
        <v>256</v>
      </c>
      <c r="E17" s="285"/>
      <c r="F17" s="4">
        <v>41000</v>
      </c>
    </row>
    <row r="18" spans="1:6" ht="30" x14ac:dyDescent="0.25">
      <c r="A18" s="2"/>
      <c r="B18" s="2"/>
      <c r="C18" s="2"/>
      <c r="D18" s="3" t="s">
        <v>257</v>
      </c>
      <c r="E18" s="286"/>
      <c r="F18" s="4">
        <v>20000</v>
      </c>
    </row>
    <row r="19" spans="1:6" ht="59.25" customHeight="1" x14ac:dyDescent="0.25">
      <c r="A19" s="2"/>
      <c r="B19" s="2"/>
      <c r="C19" s="2"/>
      <c r="D19" s="3" t="s">
        <v>307</v>
      </c>
      <c r="E19" s="153"/>
      <c r="F19" s="4">
        <v>65000</v>
      </c>
    </row>
    <row r="20" spans="1:6" ht="60" x14ac:dyDescent="0.25">
      <c r="A20" s="2"/>
      <c r="B20" s="2"/>
      <c r="C20" s="2"/>
      <c r="D20" s="3" t="s">
        <v>306</v>
      </c>
      <c r="E20" s="153"/>
      <c r="F20" s="4">
        <v>30000</v>
      </c>
    </row>
    <row r="21" spans="1:6" x14ac:dyDescent="0.25">
      <c r="A21" s="2"/>
      <c r="B21" s="2"/>
      <c r="C21" s="2"/>
      <c r="D21" s="3"/>
      <c r="E21" s="153"/>
      <c r="F21" s="4"/>
    </row>
    <row r="22" spans="1:6" ht="30" x14ac:dyDescent="0.25">
      <c r="A22" s="2" t="s">
        <v>290</v>
      </c>
      <c r="B22" s="2" t="s">
        <v>291</v>
      </c>
      <c r="C22" s="2"/>
      <c r="D22" s="3" t="s">
        <v>295</v>
      </c>
      <c r="E22" s="153"/>
      <c r="F22" s="4">
        <v>8000</v>
      </c>
    </row>
    <row r="23" spans="1:6" ht="30" x14ac:dyDescent="0.25">
      <c r="A23" s="2"/>
      <c r="B23" s="2"/>
      <c r="C23" s="2"/>
      <c r="D23" s="3" t="s">
        <v>294</v>
      </c>
      <c r="E23" s="153"/>
      <c r="F23" s="4">
        <v>25000</v>
      </c>
    </row>
    <row r="24" spans="1:6" ht="45" x14ac:dyDescent="0.25">
      <c r="A24" s="2"/>
      <c r="B24" s="2"/>
      <c r="C24" s="2"/>
      <c r="D24" s="3" t="s">
        <v>292</v>
      </c>
      <c r="E24" s="153"/>
      <c r="F24" s="4"/>
    </row>
    <row r="25" spans="1:6" ht="60" x14ac:dyDescent="0.25">
      <c r="A25" s="2"/>
      <c r="B25" s="2"/>
      <c r="C25" s="2"/>
      <c r="D25" s="3" t="s">
        <v>293</v>
      </c>
      <c r="E25" s="153"/>
      <c r="F25" s="4"/>
    </row>
    <row r="26" spans="1:6" x14ac:dyDescent="0.25">
      <c r="A26" s="2"/>
      <c r="B26" s="2"/>
      <c r="C26" s="2"/>
      <c r="E26" s="153"/>
      <c r="F26" s="4"/>
    </row>
    <row r="27" spans="1:6" ht="24.75" customHeight="1" x14ac:dyDescent="0.25">
      <c r="A27" s="2" t="s">
        <v>259</v>
      </c>
      <c r="B27" s="2" t="s">
        <v>260</v>
      </c>
      <c r="C27" s="144">
        <f>SUM(F27:F31)</f>
        <v>470250.18</v>
      </c>
      <c r="D27" s="142" t="s">
        <v>262</v>
      </c>
      <c r="E27" s="287" t="s">
        <v>64</v>
      </c>
      <c r="F27" s="4">
        <f>17000*3</f>
        <v>51000</v>
      </c>
    </row>
    <row r="28" spans="1:6" ht="24" customHeight="1" x14ac:dyDescent="0.25">
      <c r="A28" s="2"/>
      <c r="B28" s="2"/>
      <c r="C28" s="2"/>
      <c r="D28" s="142" t="s">
        <v>261</v>
      </c>
      <c r="E28" s="285"/>
      <c r="F28" s="4">
        <v>5250.18</v>
      </c>
    </row>
    <row r="29" spans="1:6" ht="26.25" customHeight="1" x14ac:dyDescent="0.25">
      <c r="A29" s="2"/>
      <c r="B29" s="2"/>
      <c r="C29" s="2"/>
      <c r="D29" s="2" t="s">
        <v>263</v>
      </c>
      <c r="E29" s="285"/>
      <c r="F29" s="4">
        <f>5*20000</f>
        <v>100000</v>
      </c>
    </row>
    <row r="30" spans="1:6" ht="29.25" customHeight="1" x14ac:dyDescent="0.25">
      <c r="A30" s="2"/>
      <c r="B30" s="2"/>
      <c r="C30" s="2"/>
      <c r="D30" s="142" t="s">
        <v>258</v>
      </c>
      <c r="E30" s="285"/>
      <c r="F30" s="143">
        <v>270000</v>
      </c>
    </row>
    <row r="31" spans="1:6" ht="30" x14ac:dyDescent="0.25">
      <c r="A31" s="2"/>
      <c r="B31" s="2"/>
      <c r="C31" s="2"/>
      <c r="D31" s="145" t="s">
        <v>268</v>
      </c>
      <c r="E31" s="286"/>
      <c r="F31" s="143">
        <v>44000</v>
      </c>
    </row>
    <row r="32" spans="1:6" x14ac:dyDescent="0.25">
      <c r="A32" s="2"/>
      <c r="B32" s="2"/>
      <c r="C32" s="2"/>
      <c r="D32" s="2"/>
      <c r="E32" s="2"/>
      <c r="F32" s="4"/>
    </row>
    <row r="33" spans="1:6" ht="60" x14ac:dyDescent="0.25">
      <c r="A33" s="2" t="s">
        <v>265</v>
      </c>
      <c r="B33" s="2" t="s">
        <v>266</v>
      </c>
      <c r="C33" s="2"/>
      <c r="D33" s="3" t="s">
        <v>269</v>
      </c>
      <c r="E33" s="2"/>
      <c r="F33" s="4">
        <v>70000</v>
      </c>
    </row>
    <row r="34" spans="1:6" x14ac:dyDescent="0.25">
      <c r="A34" s="2"/>
      <c r="B34" s="2"/>
      <c r="C34" s="2"/>
      <c r="D34" s="2"/>
      <c r="E34" s="2"/>
      <c r="F34" s="4"/>
    </row>
    <row r="35" spans="1:6" x14ac:dyDescent="0.25">
      <c r="A35" s="2"/>
      <c r="B35" s="2"/>
      <c r="C35" s="2"/>
      <c r="D35" s="2"/>
      <c r="E35" s="2"/>
      <c r="F35" s="4"/>
    </row>
    <row r="36" spans="1:6" ht="45" x14ac:dyDescent="0.25">
      <c r="A36" s="146" t="s">
        <v>271</v>
      </c>
      <c r="B36" s="3" t="s">
        <v>272</v>
      </c>
      <c r="C36" s="2"/>
      <c r="D36" s="3" t="s">
        <v>279</v>
      </c>
      <c r="E36" s="2"/>
      <c r="F36" s="4">
        <f>5*20000</f>
        <v>100000</v>
      </c>
    </row>
    <row r="37" spans="1:6" x14ac:dyDescent="0.25">
      <c r="A37" s="2"/>
      <c r="B37" s="2"/>
      <c r="C37" s="2"/>
      <c r="D37" s="2"/>
      <c r="E37" s="2"/>
      <c r="F37" s="4"/>
    </row>
    <row r="38" spans="1:6" x14ac:dyDescent="0.25">
      <c r="A38" s="2"/>
      <c r="B38" s="2"/>
      <c r="C38" s="2"/>
      <c r="D38" s="2"/>
      <c r="E38" s="2"/>
      <c r="F38" s="2"/>
    </row>
    <row r="40" spans="1:6" x14ac:dyDescent="0.25">
      <c r="F40" s="121">
        <f>SUM(F11:F36)</f>
        <v>3918250.18</v>
      </c>
    </row>
    <row r="41" spans="1:6" x14ac:dyDescent="0.25">
      <c r="F41" s="121">
        <f>+resumen!B8</f>
        <v>4415746.16</v>
      </c>
    </row>
    <row r="42" spans="1:6" x14ac:dyDescent="0.25">
      <c r="F42" s="121">
        <f>+F41-F40</f>
        <v>497495.98</v>
      </c>
    </row>
  </sheetData>
  <mergeCells count="20">
    <mergeCell ref="A6:A7"/>
    <mergeCell ref="B6:B7"/>
    <mergeCell ref="C6:C7"/>
    <mergeCell ref="D6:D7"/>
    <mergeCell ref="E6:E7"/>
    <mergeCell ref="E11:E18"/>
    <mergeCell ref="E27:E31"/>
    <mergeCell ref="R6:R7"/>
    <mergeCell ref="S6:S7"/>
    <mergeCell ref="T6:T7"/>
    <mergeCell ref="M6:M7"/>
    <mergeCell ref="N6:N7"/>
    <mergeCell ref="O6:O7"/>
    <mergeCell ref="P6:P7"/>
    <mergeCell ref="Q6:Q7"/>
    <mergeCell ref="F6:F7"/>
    <mergeCell ref="G6:I6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5"/>
  <sheetViews>
    <sheetView topLeftCell="A4" zoomScaleNormal="100" workbookViewId="0">
      <pane xSplit="1" ySplit="6" topLeftCell="B37" activePane="bottomRight" state="frozen"/>
      <selection activeCell="A4" sqref="A4"/>
      <selection pane="topRight" activeCell="B4" sqref="B4"/>
      <selection pane="bottomLeft" activeCell="A7" sqref="A7"/>
      <selection pane="bottomRight" activeCell="A8" sqref="A8:F39"/>
    </sheetView>
  </sheetViews>
  <sheetFormatPr baseColWidth="10" defaultRowHeight="14.25" x14ac:dyDescent="0.2"/>
  <cols>
    <col min="1" max="1" width="8.42578125" style="10" customWidth="1"/>
    <col min="2" max="2" width="39.85546875" style="10" customWidth="1"/>
    <col min="3" max="3" width="22.28515625" style="10" customWidth="1"/>
    <col min="4" max="4" width="29.5703125" style="10" customWidth="1"/>
    <col min="5" max="5" width="18" style="10" customWidth="1"/>
    <col min="6" max="6" width="14.140625" style="10" customWidth="1"/>
    <col min="7" max="16384" width="11.42578125" style="10"/>
  </cols>
  <sheetData>
    <row r="1" spans="1:8" ht="15" x14ac:dyDescent="0.25">
      <c r="B1" s="43" t="s">
        <v>119</v>
      </c>
      <c r="C1" s="11"/>
      <c r="D1" s="11"/>
      <c r="E1" s="11"/>
      <c r="F1" s="11"/>
    </row>
    <row r="2" spans="1:8" s="13" customFormat="1" ht="15" x14ac:dyDescent="0.25">
      <c r="B2" s="44" t="s">
        <v>120</v>
      </c>
      <c r="C2" s="14"/>
      <c r="D2" s="14"/>
      <c r="E2" s="14"/>
      <c r="F2" s="14"/>
    </row>
    <row r="3" spans="1:8" s="13" customFormat="1" ht="15" x14ac:dyDescent="0.25">
      <c r="B3" s="44"/>
      <c r="C3" s="14"/>
      <c r="D3" s="14"/>
      <c r="E3" s="14"/>
      <c r="F3" s="14"/>
    </row>
    <row r="4" spans="1:8" s="13" customFormat="1" ht="15" x14ac:dyDescent="0.25">
      <c r="B4" s="44"/>
      <c r="C4" s="14"/>
      <c r="D4" s="14"/>
      <c r="E4" s="14"/>
      <c r="F4" s="14"/>
    </row>
    <row r="5" spans="1:8" s="13" customFormat="1" ht="15" x14ac:dyDescent="0.25">
      <c r="B5" s="44" t="s">
        <v>121</v>
      </c>
      <c r="C5" s="14"/>
      <c r="D5" s="14"/>
      <c r="E5" s="14"/>
      <c r="F5" s="14"/>
    </row>
    <row r="6" spans="1:8" s="13" customFormat="1" ht="26.25" customHeight="1" x14ac:dyDescent="0.2">
      <c r="B6" s="229" t="s">
        <v>296</v>
      </c>
      <c r="C6" s="229"/>
      <c r="D6" s="173"/>
      <c r="E6" s="162"/>
      <c r="F6" s="162"/>
    </row>
    <row r="7" spans="1:8" s="13" customFormat="1" ht="15" x14ac:dyDescent="0.25">
      <c r="C7" s="16"/>
      <c r="D7" s="16"/>
      <c r="E7" s="16"/>
      <c r="F7" s="16"/>
    </row>
    <row r="8" spans="1:8" s="57" customFormat="1" ht="45" customHeight="1" x14ac:dyDescent="0.2">
      <c r="A8" s="240" t="s">
        <v>116</v>
      </c>
      <c r="B8" s="240" t="s">
        <v>298</v>
      </c>
      <c r="C8" s="242" t="s">
        <v>115</v>
      </c>
      <c r="D8" s="258" t="s">
        <v>299</v>
      </c>
      <c r="E8" s="242" t="s">
        <v>118</v>
      </c>
      <c r="F8" s="258" t="s">
        <v>56</v>
      </c>
    </row>
    <row r="9" spans="1:8" s="57" customFormat="1" ht="12.75" customHeight="1" x14ac:dyDescent="0.2">
      <c r="A9" s="241"/>
      <c r="B9" s="241"/>
      <c r="C9" s="243"/>
      <c r="D9" s="242"/>
      <c r="E9" s="243"/>
      <c r="F9" s="242"/>
    </row>
    <row r="10" spans="1:8" ht="28.5" x14ac:dyDescent="0.2">
      <c r="A10" s="18" t="s">
        <v>11</v>
      </c>
      <c r="B10" s="88" t="s">
        <v>67</v>
      </c>
      <c r="C10" s="20">
        <v>1150000</v>
      </c>
      <c r="D10" s="154" t="s">
        <v>55</v>
      </c>
      <c r="E10" s="22" t="s">
        <v>64</v>
      </c>
      <c r="F10" s="133">
        <v>1150000</v>
      </c>
      <c r="G10" s="136"/>
    </row>
    <row r="11" spans="1:8" ht="29.25" customHeight="1" x14ac:dyDescent="0.2">
      <c r="A11" s="244" t="s">
        <v>12</v>
      </c>
      <c r="B11" s="256" t="s">
        <v>68</v>
      </c>
      <c r="C11" s="259">
        <f>+F11+F12</f>
        <v>400000</v>
      </c>
      <c r="D11" s="155" t="s">
        <v>300</v>
      </c>
      <c r="E11" s="22" t="s">
        <v>64</v>
      </c>
      <c r="F11" s="134">
        <v>300000</v>
      </c>
      <c r="G11" s="10">
        <v>61000</v>
      </c>
    </row>
    <row r="12" spans="1:8" ht="63" customHeight="1" x14ac:dyDescent="0.2">
      <c r="A12" s="246"/>
      <c r="B12" s="257"/>
      <c r="C12" s="260"/>
      <c r="D12" s="155" t="s">
        <v>313</v>
      </c>
      <c r="E12" s="25" t="s">
        <v>65</v>
      </c>
      <c r="F12" s="134">
        <v>100000</v>
      </c>
      <c r="G12" s="10">
        <f>+G11*0.25</f>
        <v>15250</v>
      </c>
    </row>
    <row r="13" spans="1:8" x14ac:dyDescent="0.2">
      <c r="A13" s="261" t="s">
        <v>13</v>
      </c>
      <c r="B13" s="264" t="s">
        <v>70</v>
      </c>
      <c r="C13" s="259">
        <v>260000</v>
      </c>
      <c r="D13" s="155" t="s">
        <v>122</v>
      </c>
      <c r="E13" s="25" t="s">
        <v>65</v>
      </c>
      <c r="F13" s="134">
        <v>50000</v>
      </c>
      <c r="G13" s="10">
        <f>+G11+G12</f>
        <v>76250</v>
      </c>
      <c r="H13" s="136">
        <f>+F11-G13</f>
        <v>223750</v>
      </c>
    </row>
    <row r="14" spans="1:8" x14ac:dyDescent="0.2">
      <c r="A14" s="262"/>
      <c r="B14" s="264"/>
      <c r="C14" s="265"/>
      <c r="D14" s="155" t="s">
        <v>105</v>
      </c>
      <c r="E14" s="25" t="s">
        <v>65</v>
      </c>
      <c r="F14" s="134">
        <v>50000</v>
      </c>
    </row>
    <row r="15" spans="1:8" ht="28.5" x14ac:dyDescent="0.2">
      <c r="A15" s="263"/>
      <c r="B15" s="264"/>
      <c r="C15" s="260"/>
      <c r="D15" s="154" t="s">
        <v>71</v>
      </c>
      <c r="E15" s="27" t="s">
        <v>65</v>
      </c>
      <c r="F15" s="133">
        <v>160000</v>
      </c>
    </row>
    <row r="16" spans="1:8" ht="42.75" x14ac:dyDescent="0.2">
      <c r="A16" s="29" t="s">
        <v>14</v>
      </c>
      <c r="B16" s="30" t="s">
        <v>72</v>
      </c>
      <c r="C16" s="28">
        <v>15000</v>
      </c>
      <c r="D16" s="154" t="s">
        <v>125</v>
      </c>
      <c r="E16" s="89" t="s">
        <v>73</v>
      </c>
      <c r="F16" s="133">
        <v>15000</v>
      </c>
    </row>
    <row r="17" spans="1:6" ht="28.5" customHeight="1" x14ac:dyDescent="0.2">
      <c r="A17" s="244" t="s">
        <v>15</v>
      </c>
      <c r="B17" s="247" t="s">
        <v>314</v>
      </c>
      <c r="C17" s="250">
        <f>SUM(F17:F19)</f>
        <v>1250000</v>
      </c>
      <c r="D17" s="154" t="s">
        <v>75</v>
      </c>
      <c r="E17" s="25" t="s">
        <v>65</v>
      </c>
      <c r="F17" s="133">
        <v>750000</v>
      </c>
    </row>
    <row r="18" spans="1:6" ht="28.5" customHeight="1" x14ac:dyDescent="0.2">
      <c r="A18" s="245"/>
      <c r="B18" s="248"/>
      <c r="C18" s="251"/>
      <c r="D18" s="154" t="s">
        <v>215</v>
      </c>
      <c r="E18" s="25"/>
      <c r="F18" s="133">
        <v>150000</v>
      </c>
    </row>
    <row r="19" spans="1:6" ht="28.5" x14ac:dyDescent="0.2">
      <c r="A19" s="246"/>
      <c r="B19" s="249"/>
      <c r="C19" s="252"/>
      <c r="D19" s="154" t="s">
        <v>76</v>
      </c>
      <c r="E19" s="25" t="s">
        <v>65</v>
      </c>
      <c r="F19" s="133">
        <v>350000</v>
      </c>
    </row>
    <row r="20" spans="1:6" ht="28.5" x14ac:dyDescent="0.2">
      <c r="A20" s="244" t="s">
        <v>16</v>
      </c>
      <c r="B20" s="247" t="s">
        <v>77</v>
      </c>
      <c r="C20" s="259">
        <f>SUM(F20:F23)</f>
        <v>58000</v>
      </c>
      <c r="D20" s="154" t="s">
        <v>126</v>
      </c>
      <c r="E20" s="89" t="s">
        <v>73</v>
      </c>
      <c r="F20" s="133">
        <v>18000</v>
      </c>
    </row>
    <row r="21" spans="1:6" ht="28.5" x14ac:dyDescent="0.2">
      <c r="A21" s="245"/>
      <c r="B21" s="248"/>
      <c r="C21" s="265"/>
      <c r="D21" s="154" t="s">
        <v>216</v>
      </c>
      <c r="E21" s="89" t="s">
        <v>73</v>
      </c>
      <c r="F21" s="133">
        <v>8000</v>
      </c>
    </row>
    <row r="22" spans="1:6" ht="27" customHeight="1" x14ac:dyDescent="0.2">
      <c r="A22" s="245"/>
      <c r="B22" s="248"/>
      <c r="C22" s="265"/>
      <c r="D22" s="154" t="s">
        <v>315</v>
      </c>
      <c r="E22" s="89"/>
      <c r="F22" s="135">
        <v>7000</v>
      </c>
    </row>
    <row r="23" spans="1:6" ht="28.5" x14ac:dyDescent="0.2">
      <c r="A23" s="246"/>
      <c r="B23" s="249"/>
      <c r="C23" s="260"/>
      <c r="D23" s="154" t="s">
        <v>362</v>
      </c>
      <c r="E23" s="89" t="s">
        <v>73</v>
      </c>
      <c r="F23" s="133">
        <v>25000</v>
      </c>
    </row>
    <row r="24" spans="1:6" ht="28.5" x14ac:dyDescent="0.2">
      <c r="A24" s="132" t="s">
        <v>78</v>
      </c>
      <c r="B24" s="90" t="s">
        <v>79</v>
      </c>
      <c r="C24" s="33">
        <v>500000</v>
      </c>
      <c r="D24" s="154" t="s">
        <v>80</v>
      </c>
      <c r="E24" s="89" t="s">
        <v>64</v>
      </c>
      <c r="F24" s="133">
        <v>500000</v>
      </c>
    </row>
    <row r="25" spans="1:6" ht="28.5" x14ac:dyDescent="0.2">
      <c r="A25" s="23" t="s">
        <v>81</v>
      </c>
      <c r="B25" s="30" t="s">
        <v>82</v>
      </c>
      <c r="C25" s="28">
        <v>145000</v>
      </c>
      <c r="D25" s="154" t="s">
        <v>316</v>
      </c>
      <c r="E25" s="89" t="s">
        <v>65</v>
      </c>
      <c r="F25" s="133">
        <v>145000</v>
      </c>
    </row>
    <row r="26" spans="1:6" ht="28.5" x14ac:dyDescent="0.2">
      <c r="A26" s="23" t="s">
        <v>83</v>
      </c>
      <c r="B26" s="30" t="s">
        <v>84</v>
      </c>
      <c r="C26" s="28">
        <v>125000</v>
      </c>
      <c r="D26" s="154" t="s">
        <v>85</v>
      </c>
      <c r="E26" s="89" t="s">
        <v>65</v>
      </c>
      <c r="F26" s="133">
        <v>125000</v>
      </c>
    </row>
    <row r="27" spans="1:6" ht="42.75" x14ac:dyDescent="0.2">
      <c r="A27" s="23" t="s">
        <v>17</v>
      </c>
      <c r="B27" s="30" t="s">
        <v>87</v>
      </c>
      <c r="C27" s="28">
        <v>375000</v>
      </c>
      <c r="D27" s="156" t="s">
        <v>88</v>
      </c>
      <c r="E27" s="89" t="s">
        <v>64</v>
      </c>
      <c r="F27" s="133">
        <v>375000</v>
      </c>
    </row>
    <row r="28" spans="1:6" ht="42.75" x14ac:dyDescent="0.2">
      <c r="A28" s="23" t="s">
        <v>18</v>
      </c>
      <c r="B28" s="30" t="s">
        <v>89</v>
      </c>
      <c r="C28" s="28">
        <v>205000</v>
      </c>
      <c r="D28" s="154" t="s">
        <v>90</v>
      </c>
      <c r="E28" s="27" t="s">
        <v>65</v>
      </c>
      <c r="F28" s="133">
        <v>205000</v>
      </c>
    </row>
    <row r="29" spans="1:6" x14ac:dyDescent="0.2">
      <c r="A29" s="35" t="s">
        <v>19</v>
      </c>
      <c r="B29" s="89" t="s">
        <v>99</v>
      </c>
      <c r="C29" s="36">
        <v>390000</v>
      </c>
      <c r="D29" s="154" t="s">
        <v>318</v>
      </c>
      <c r="E29" s="89" t="s">
        <v>65</v>
      </c>
      <c r="F29" s="137">
        <v>390000</v>
      </c>
    </row>
    <row r="30" spans="1:6" ht="28.5" x14ac:dyDescent="0.2">
      <c r="A30" s="23" t="s">
        <v>20</v>
      </c>
      <c r="B30" s="30" t="s">
        <v>92</v>
      </c>
      <c r="C30" s="28">
        <v>230000</v>
      </c>
      <c r="D30" s="154" t="s">
        <v>218</v>
      </c>
      <c r="E30" s="27" t="s">
        <v>65</v>
      </c>
      <c r="F30" s="133">
        <v>230000</v>
      </c>
    </row>
    <row r="31" spans="1:6" ht="42.75" x14ac:dyDescent="0.2">
      <c r="A31" s="23" t="s">
        <v>93</v>
      </c>
      <c r="B31" s="30" t="s">
        <v>94</v>
      </c>
      <c r="C31" s="28">
        <v>350000</v>
      </c>
      <c r="D31" s="154" t="s">
        <v>319</v>
      </c>
      <c r="E31" s="27" t="s">
        <v>65</v>
      </c>
      <c r="F31" s="133">
        <v>350000</v>
      </c>
    </row>
    <row r="32" spans="1:6" ht="42.75" x14ac:dyDescent="0.2">
      <c r="A32" s="23" t="s">
        <v>96</v>
      </c>
      <c r="B32" s="30" t="s">
        <v>97</v>
      </c>
      <c r="C32" s="28">
        <v>150000</v>
      </c>
      <c r="D32" s="154" t="s">
        <v>98</v>
      </c>
      <c r="E32" s="27" t="s">
        <v>65</v>
      </c>
      <c r="F32" s="133">
        <v>150000</v>
      </c>
    </row>
    <row r="33" spans="1:6" ht="33" customHeight="1" x14ac:dyDescent="0.2">
      <c r="A33" s="244" t="s">
        <v>100</v>
      </c>
      <c r="B33" s="267" t="s">
        <v>101</v>
      </c>
      <c r="C33" s="253">
        <f>+F33+F34</f>
        <v>275200</v>
      </c>
      <c r="D33" s="133" t="s">
        <v>102</v>
      </c>
      <c r="E33" s="27" t="s">
        <v>65</v>
      </c>
      <c r="F33" s="133">
        <f>+(18350*12)</f>
        <v>220200</v>
      </c>
    </row>
    <row r="34" spans="1:6" ht="28.5" customHeight="1" x14ac:dyDescent="0.2">
      <c r="A34" s="246"/>
      <c r="B34" s="268"/>
      <c r="C34" s="255"/>
      <c r="D34" s="133" t="s">
        <v>103</v>
      </c>
      <c r="E34" s="27" t="s">
        <v>65</v>
      </c>
      <c r="F34" s="133">
        <v>55000</v>
      </c>
    </row>
    <row r="35" spans="1:6" ht="42.75" x14ac:dyDescent="0.2">
      <c r="A35" s="23" t="s">
        <v>21</v>
      </c>
      <c r="B35" s="30" t="s">
        <v>104</v>
      </c>
      <c r="C35" s="28">
        <v>150000</v>
      </c>
      <c r="D35" s="154" t="s">
        <v>320</v>
      </c>
      <c r="E35" s="27" t="s">
        <v>65</v>
      </c>
      <c r="F35" s="133">
        <v>150000</v>
      </c>
    </row>
    <row r="36" spans="1:6" ht="42.75" x14ac:dyDescent="0.2">
      <c r="A36" s="23" t="s">
        <v>22</v>
      </c>
      <c r="B36" s="30" t="s">
        <v>106</v>
      </c>
      <c r="C36" s="28">
        <v>80000</v>
      </c>
      <c r="D36" s="154" t="s">
        <v>321</v>
      </c>
      <c r="E36" s="27" t="s">
        <v>65</v>
      </c>
      <c r="F36" s="133">
        <v>80000</v>
      </c>
    </row>
    <row r="37" spans="1:6" ht="42.75" x14ac:dyDescent="0.2">
      <c r="A37" s="23" t="s">
        <v>108</v>
      </c>
      <c r="B37" s="30" t="s">
        <v>109</v>
      </c>
      <c r="C37" s="28">
        <v>20000</v>
      </c>
      <c r="D37" s="154" t="s">
        <v>110</v>
      </c>
      <c r="E37" s="27" t="s">
        <v>65</v>
      </c>
      <c r="F37" s="133">
        <v>20000</v>
      </c>
    </row>
    <row r="38" spans="1:6" s="75" customFormat="1" ht="57" x14ac:dyDescent="0.2">
      <c r="A38" s="83" t="s">
        <v>23</v>
      </c>
      <c r="B38" s="114" t="s">
        <v>111</v>
      </c>
      <c r="C38" s="115">
        <v>20000</v>
      </c>
      <c r="D38" s="157" t="s">
        <v>322</v>
      </c>
      <c r="E38" s="117" t="s">
        <v>65</v>
      </c>
      <c r="F38" s="135">
        <v>20000</v>
      </c>
    </row>
    <row r="39" spans="1:6" s="75" customFormat="1" ht="28.5" x14ac:dyDescent="0.2">
      <c r="A39" s="83" t="s">
        <v>113</v>
      </c>
      <c r="B39" s="114" t="s">
        <v>114</v>
      </c>
      <c r="C39" s="115">
        <v>50000</v>
      </c>
      <c r="D39" s="157" t="s">
        <v>323</v>
      </c>
      <c r="E39" s="117" t="s">
        <v>65</v>
      </c>
      <c r="F39" s="135">
        <v>50000</v>
      </c>
    </row>
    <row r="40" spans="1:6" s="38" customFormat="1" ht="15" x14ac:dyDescent="0.25">
      <c r="B40" s="39" t="s">
        <v>51</v>
      </c>
      <c r="C40" s="41">
        <f>SUM(C10:C39)</f>
        <v>6198200</v>
      </c>
      <c r="D40" s="41"/>
      <c r="E40" s="41"/>
      <c r="F40" s="41">
        <f>SUM(F10:F39)</f>
        <v>6198200</v>
      </c>
    </row>
    <row r="41" spans="1:6" s="38" customFormat="1" ht="15" x14ac:dyDescent="0.25">
      <c r="B41" s="39"/>
      <c r="C41" s="41"/>
      <c r="D41" s="41"/>
      <c r="E41" s="41"/>
      <c r="F41" s="41"/>
    </row>
    <row r="42" spans="1:6" s="38" customFormat="1" ht="15" x14ac:dyDescent="0.25">
      <c r="B42" s="39"/>
      <c r="C42" s="41"/>
      <c r="D42" s="41"/>
      <c r="E42" s="41"/>
      <c r="F42" s="41"/>
    </row>
    <row r="43" spans="1:6" s="38" customFormat="1" ht="15" x14ac:dyDescent="0.25">
      <c r="B43" s="39"/>
      <c r="C43" s="41"/>
      <c r="D43" s="41"/>
      <c r="E43" s="41"/>
      <c r="F43" s="41"/>
    </row>
    <row r="44" spans="1:6" s="38" customFormat="1" ht="15" x14ac:dyDescent="0.25">
      <c r="B44" s="39"/>
      <c r="C44" s="41"/>
      <c r="D44" s="41"/>
      <c r="E44" s="41"/>
      <c r="F44" s="41"/>
    </row>
    <row r="45" spans="1:6" s="38" customFormat="1" ht="15" x14ac:dyDescent="0.25">
      <c r="B45" s="39"/>
      <c r="C45" s="41"/>
      <c r="D45" s="41"/>
      <c r="E45" s="41"/>
      <c r="F45" s="41"/>
    </row>
  </sheetData>
  <mergeCells count="22">
    <mergeCell ref="E8:E9"/>
    <mergeCell ref="F8:F9"/>
    <mergeCell ref="A33:A34"/>
    <mergeCell ref="B33:B34"/>
    <mergeCell ref="C33:C34"/>
    <mergeCell ref="A17:A19"/>
    <mergeCell ref="B17:B19"/>
    <mergeCell ref="C17:C19"/>
    <mergeCell ref="A20:A23"/>
    <mergeCell ref="B20:B23"/>
    <mergeCell ref="C20:C23"/>
    <mergeCell ref="A11:A12"/>
    <mergeCell ref="B11:B12"/>
    <mergeCell ref="C11:C12"/>
    <mergeCell ref="A13:A15"/>
    <mergeCell ref="D8:D9"/>
    <mergeCell ref="B13:B15"/>
    <mergeCell ref="B6:C6"/>
    <mergeCell ref="A8:A9"/>
    <mergeCell ref="B8:B9"/>
    <mergeCell ref="C8:C9"/>
    <mergeCell ref="C13:C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1"/>
  <sheetViews>
    <sheetView topLeftCell="A57" zoomScaleNormal="100" workbookViewId="0">
      <selection activeCell="A6" sqref="A6:F62"/>
    </sheetView>
  </sheetViews>
  <sheetFormatPr baseColWidth="10" defaultRowHeight="14.25" x14ac:dyDescent="0.2"/>
  <cols>
    <col min="1" max="1" width="8" style="76" customWidth="1"/>
    <col min="2" max="2" width="37.85546875" style="91" customWidth="1"/>
    <col min="3" max="3" width="18.7109375" style="10" customWidth="1"/>
    <col min="4" max="4" width="30" style="105" customWidth="1"/>
    <col min="5" max="5" width="18" style="105" customWidth="1"/>
    <col min="6" max="6" width="14.140625" style="10" customWidth="1"/>
    <col min="7" max="7" width="15.5703125" style="87" bestFit="1" customWidth="1"/>
    <col min="8" max="9" width="14.42578125" style="10" bestFit="1" customWidth="1"/>
    <col min="10" max="10" width="15.5703125" style="10" bestFit="1" customWidth="1"/>
    <col min="11" max="13" width="14.42578125" style="10" bestFit="1" customWidth="1"/>
    <col min="14" max="16384" width="11.42578125" style="10"/>
  </cols>
  <sheetData>
    <row r="1" spans="1:9" ht="15" x14ac:dyDescent="0.25">
      <c r="B1" s="44" t="s">
        <v>297</v>
      </c>
      <c r="C1" s="14"/>
      <c r="D1" s="14"/>
      <c r="E1" s="14"/>
      <c r="F1" s="14"/>
    </row>
    <row r="2" spans="1:9" s="13" customFormat="1" ht="15" customHeight="1" x14ac:dyDescent="0.25">
      <c r="A2" s="77"/>
      <c r="B2" s="162" t="s">
        <v>296</v>
      </c>
      <c r="C2" s="162"/>
      <c r="D2" s="173"/>
      <c r="E2" s="162"/>
      <c r="F2" s="162"/>
      <c r="G2" s="125"/>
      <c r="H2" s="14"/>
    </row>
    <row r="3" spans="1:9" s="13" customFormat="1" ht="15" x14ac:dyDescent="0.25">
      <c r="A3" s="77"/>
      <c r="B3" s="92"/>
      <c r="C3" s="125"/>
      <c r="D3" s="126"/>
      <c r="E3" s="100"/>
      <c r="F3" s="14"/>
      <c r="G3" s="125"/>
      <c r="H3" s="14"/>
    </row>
    <row r="4" spans="1:9" ht="39.75" customHeight="1" x14ac:dyDescent="0.2">
      <c r="A4" s="277" t="s">
        <v>116</v>
      </c>
      <c r="B4" s="277" t="s">
        <v>298</v>
      </c>
      <c r="C4" s="269" t="s">
        <v>115</v>
      </c>
      <c r="D4" s="279" t="s">
        <v>299</v>
      </c>
      <c r="E4" s="269" t="s">
        <v>118</v>
      </c>
      <c r="F4" s="258" t="s">
        <v>56</v>
      </c>
    </row>
    <row r="5" spans="1:9" ht="23.25" customHeight="1" x14ac:dyDescent="0.2">
      <c r="A5" s="278"/>
      <c r="B5" s="278"/>
      <c r="C5" s="270"/>
      <c r="D5" s="269"/>
      <c r="E5" s="270"/>
      <c r="F5" s="242"/>
    </row>
    <row r="6" spans="1:9" ht="58.5" customHeight="1" x14ac:dyDescent="0.2">
      <c r="A6" s="244" t="s">
        <v>24</v>
      </c>
      <c r="B6" s="247" t="s">
        <v>131</v>
      </c>
      <c r="C6" s="259">
        <f>507228+73464.75</f>
        <v>580692.75</v>
      </c>
      <c r="D6" s="68" t="s">
        <v>166</v>
      </c>
      <c r="E6" s="247" t="s">
        <v>73</v>
      </c>
      <c r="F6" s="63">
        <f>34000*12</f>
        <v>408000</v>
      </c>
    </row>
    <row r="7" spans="1:9" ht="64.5" customHeight="1" x14ac:dyDescent="0.2">
      <c r="A7" s="246"/>
      <c r="B7" s="249"/>
      <c r="C7" s="260"/>
      <c r="D7" s="130" t="s">
        <v>167</v>
      </c>
      <c r="E7" s="249"/>
      <c r="F7" s="66">
        <f>29000*6-1307.25</f>
        <v>172692.75</v>
      </c>
    </row>
    <row r="8" spans="1:9" ht="57" customHeight="1" x14ac:dyDescent="0.2">
      <c r="A8" s="244" t="s">
        <v>25</v>
      </c>
      <c r="B8" s="247" t="s">
        <v>132</v>
      </c>
      <c r="C8" s="259">
        <f>102409+27238.04</f>
        <v>129647.04000000001</v>
      </c>
      <c r="D8" s="68" t="s">
        <v>162</v>
      </c>
      <c r="E8" s="90" t="s">
        <v>73</v>
      </c>
      <c r="F8" s="63">
        <f>(856+3676)*12+75263.04-36000</f>
        <v>93647.039999999994</v>
      </c>
    </row>
    <row r="9" spans="1:9" ht="28.5" customHeight="1" x14ac:dyDescent="0.2">
      <c r="A9" s="246"/>
      <c r="B9" s="249"/>
      <c r="C9" s="260"/>
      <c r="D9" s="68" t="s">
        <v>200</v>
      </c>
      <c r="E9" s="90" t="s">
        <v>65</v>
      </c>
      <c r="F9" s="63">
        <f>3000*12</f>
        <v>36000</v>
      </c>
    </row>
    <row r="10" spans="1:9" ht="28.5" x14ac:dyDescent="0.2">
      <c r="A10" s="23" t="s">
        <v>26</v>
      </c>
      <c r="B10" s="94" t="s">
        <v>133</v>
      </c>
      <c r="C10" s="66">
        <v>1400000</v>
      </c>
      <c r="D10" s="68" t="s">
        <v>171</v>
      </c>
      <c r="E10" s="90" t="s">
        <v>163</v>
      </c>
      <c r="F10" s="66"/>
      <c r="G10" s="87">
        <f>145000*4</f>
        <v>580000</v>
      </c>
      <c r="H10" s="136">
        <f>+C10-G10</f>
        <v>820000</v>
      </c>
      <c r="I10" s="87">
        <f>+H10/8</f>
        <v>102500</v>
      </c>
    </row>
    <row r="11" spans="1:9" s="75" customFormat="1" ht="28.5" x14ac:dyDescent="0.2">
      <c r="A11" s="23" t="s">
        <v>164</v>
      </c>
      <c r="B11" s="68" t="s">
        <v>165</v>
      </c>
      <c r="C11" s="71">
        <f>SUM(F11:F17)</f>
        <v>1280000</v>
      </c>
      <c r="D11" s="94" t="s">
        <v>168</v>
      </c>
      <c r="E11" s="141" t="s">
        <v>65</v>
      </c>
      <c r="F11" s="71">
        <f>3800*12</f>
        <v>45600</v>
      </c>
      <c r="G11" s="177"/>
      <c r="H11" s="177">
        <f>+H10/8</f>
        <v>102500</v>
      </c>
    </row>
    <row r="12" spans="1:9" s="75" customFormat="1" ht="28.5" x14ac:dyDescent="0.2">
      <c r="A12" s="23"/>
      <c r="B12" s="68"/>
      <c r="C12" s="71"/>
      <c r="D12" s="94" t="s">
        <v>173</v>
      </c>
      <c r="E12" s="141" t="s">
        <v>65</v>
      </c>
      <c r="F12" s="71">
        <f>3800*12</f>
        <v>45600</v>
      </c>
      <c r="G12" s="177"/>
      <c r="H12" s="177">
        <v>167394</v>
      </c>
    </row>
    <row r="13" spans="1:9" s="75" customFormat="1" ht="28.5" x14ac:dyDescent="0.2">
      <c r="A13" s="23"/>
      <c r="B13" s="68"/>
      <c r="C13" s="71"/>
      <c r="D13" s="94" t="s">
        <v>174</v>
      </c>
      <c r="E13" s="141" t="s">
        <v>65</v>
      </c>
      <c r="F13" s="71">
        <f>3800*12</f>
        <v>45600</v>
      </c>
      <c r="G13" s="177"/>
      <c r="H13" s="192">
        <f>+H12-H11</f>
        <v>64894</v>
      </c>
      <c r="I13" s="177">
        <f>+H13*8</f>
        <v>519152</v>
      </c>
    </row>
    <row r="14" spans="1:9" s="75" customFormat="1" ht="28.5" x14ac:dyDescent="0.2">
      <c r="A14" s="23"/>
      <c r="B14" s="68"/>
      <c r="C14" s="71"/>
      <c r="D14" s="94" t="s">
        <v>172</v>
      </c>
      <c r="E14" s="141" t="s">
        <v>210</v>
      </c>
      <c r="F14" s="71">
        <v>300000</v>
      </c>
      <c r="G14" s="177"/>
    </row>
    <row r="15" spans="1:9" s="75" customFormat="1" ht="28.5" x14ac:dyDescent="0.2">
      <c r="A15" s="23"/>
      <c r="B15" s="68"/>
      <c r="C15" s="71"/>
      <c r="D15" s="94" t="s">
        <v>175</v>
      </c>
      <c r="E15" s="141" t="s">
        <v>210</v>
      </c>
      <c r="F15" s="71">
        <f>36000*12+300000</f>
        <v>732000</v>
      </c>
      <c r="G15" s="177"/>
    </row>
    <row r="16" spans="1:9" s="75" customFormat="1" ht="28.5" x14ac:dyDescent="0.2">
      <c r="A16" s="23"/>
      <c r="B16" s="68"/>
      <c r="C16" s="71"/>
      <c r="D16" s="94" t="s">
        <v>223</v>
      </c>
      <c r="E16" s="141" t="s">
        <v>73</v>
      </c>
      <c r="F16" s="71">
        <f>500*12+4000</f>
        <v>10000</v>
      </c>
      <c r="G16" s="177"/>
    </row>
    <row r="17" spans="1:9" s="75" customFormat="1" ht="28.5" x14ac:dyDescent="0.2">
      <c r="A17" s="23"/>
      <c r="B17" s="68"/>
      <c r="C17" s="71"/>
      <c r="D17" s="94" t="s">
        <v>176</v>
      </c>
      <c r="E17" s="141" t="s">
        <v>65</v>
      </c>
      <c r="F17" s="71">
        <f>91200+10000</f>
        <v>101200</v>
      </c>
      <c r="G17" s="177"/>
    </row>
    <row r="18" spans="1:9" ht="44.25" customHeight="1" x14ac:dyDescent="0.2">
      <c r="A18" s="244" t="s">
        <v>27</v>
      </c>
      <c r="B18" s="247" t="s">
        <v>134</v>
      </c>
      <c r="C18" s="259">
        <f>393402-102190.05</f>
        <v>291211.95</v>
      </c>
      <c r="D18" s="68" t="s">
        <v>178</v>
      </c>
      <c r="E18" s="63"/>
      <c r="F18" s="66">
        <f>7000*12+86000</f>
        <v>170000</v>
      </c>
    </row>
    <row r="19" spans="1:9" ht="75.75" customHeight="1" x14ac:dyDescent="0.2">
      <c r="A19" s="246"/>
      <c r="B19" s="249"/>
      <c r="C19" s="260"/>
      <c r="D19" s="68" t="s">
        <v>179</v>
      </c>
      <c r="E19" s="63"/>
      <c r="F19" s="66">
        <v>60000</v>
      </c>
    </row>
    <row r="20" spans="1:9" ht="87.75" customHeight="1" x14ac:dyDescent="0.2">
      <c r="A20" s="244" t="s">
        <v>184</v>
      </c>
      <c r="B20" s="247" t="s">
        <v>185</v>
      </c>
      <c r="C20" s="259">
        <f>+F20+F21</f>
        <v>1140000</v>
      </c>
      <c r="D20" s="68" t="s">
        <v>186</v>
      </c>
      <c r="E20" s="63" t="s">
        <v>210</v>
      </c>
      <c r="F20" s="63">
        <f>7000*10*12+150000</f>
        <v>990000</v>
      </c>
      <c r="G20" s="190">
        <f>106793.08*10</f>
        <v>1067930.8</v>
      </c>
      <c r="H20" s="86">
        <f>+F20-G20</f>
        <v>-77930.800000000047</v>
      </c>
    </row>
    <row r="21" spans="1:9" ht="87.75" customHeight="1" x14ac:dyDescent="0.2">
      <c r="A21" s="246"/>
      <c r="B21" s="249"/>
      <c r="C21" s="260"/>
      <c r="D21" s="68" t="s">
        <v>187</v>
      </c>
      <c r="E21" s="63" t="s">
        <v>65</v>
      </c>
      <c r="F21" s="63">
        <v>150000</v>
      </c>
      <c r="G21" s="191">
        <v>181047.7</v>
      </c>
      <c r="H21" s="136">
        <f>+G21-F21</f>
        <v>31047.700000000012</v>
      </c>
    </row>
    <row r="22" spans="1:9" ht="75.75" customHeight="1" x14ac:dyDescent="0.2">
      <c r="A22" s="23" t="s">
        <v>180</v>
      </c>
      <c r="B22" s="68" t="s">
        <v>181</v>
      </c>
      <c r="C22" s="174">
        <v>120000</v>
      </c>
      <c r="D22" s="68" t="s">
        <v>182</v>
      </c>
      <c r="E22" s="63" t="s">
        <v>65</v>
      </c>
      <c r="F22" s="66"/>
    </row>
    <row r="23" spans="1:9" ht="33" customHeight="1" x14ac:dyDescent="0.2">
      <c r="A23" s="23" t="s">
        <v>188</v>
      </c>
      <c r="B23" s="68" t="s">
        <v>189</v>
      </c>
      <c r="C23" s="66">
        <f>SUM(F23:F28)</f>
        <v>1034080</v>
      </c>
      <c r="D23" s="68" t="s">
        <v>190</v>
      </c>
      <c r="E23" s="63" t="s">
        <v>65</v>
      </c>
      <c r="F23" s="66">
        <v>50000</v>
      </c>
    </row>
    <row r="24" spans="1:9" ht="33" customHeight="1" x14ac:dyDescent="0.2">
      <c r="A24" s="23"/>
      <c r="B24" s="68"/>
      <c r="C24" s="66"/>
      <c r="D24" s="68" t="s">
        <v>211</v>
      </c>
      <c r="E24" s="63" t="s">
        <v>65</v>
      </c>
      <c r="F24" s="66">
        <v>40000</v>
      </c>
    </row>
    <row r="25" spans="1:9" ht="33" customHeight="1" x14ac:dyDescent="0.2">
      <c r="A25" s="23"/>
      <c r="B25" s="68"/>
      <c r="C25" s="66"/>
      <c r="D25" s="68" t="s">
        <v>199</v>
      </c>
      <c r="E25" s="63" t="s">
        <v>73</v>
      </c>
      <c r="F25" s="66">
        <v>10000</v>
      </c>
    </row>
    <row r="26" spans="1:9" ht="33" customHeight="1" x14ac:dyDescent="0.2">
      <c r="A26" s="23"/>
      <c r="B26" s="68"/>
      <c r="C26" s="66"/>
      <c r="D26" s="94" t="s">
        <v>214</v>
      </c>
      <c r="E26" s="103" t="s">
        <v>65</v>
      </c>
      <c r="F26" s="71">
        <v>100000</v>
      </c>
    </row>
    <row r="27" spans="1:9" ht="66.75" customHeight="1" x14ac:dyDescent="0.2">
      <c r="A27" s="23"/>
      <c r="B27" s="68"/>
      <c r="C27" s="66"/>
      <c r="D27" s="68" t="s">
        <v>220</v>
      </c>
      <c r="E27" s="63" t="s">
        <v>65</v>
      </c>
      <c r="F27" s="66">
        <f>15000*12</f>
        <v>180000</v>
      </c>
    </row>
    <row r="28" spans="1:9" ht="57" customHeight="1" x14ac:dyDescent="0.2">
      <c r="A28" s="23"/>
      <c r="B28" s="68"/>
      <c r="C28" s="66"/>
      <c r="D28" s="68" t="s">
        <v>219</v>
      </c>
      <c r="E28" s="102" t="s">
        <v>73</v>
      </c>
      <c r="F28" s="66">
        <f>680000-25920</f>
        <v>654080</v>
      </c>
      <c r="I28" s="136"/>
    </row>
    <row r="29" spans="1:9" ht="28.5" x14ac:dyDescent="0.2">
      <c r="A29" s="245" t="s">
        <v>28</v>
      </c>
      <c r="B29" s="248" t="s">
        <v>193</v>
      </c>
      <c r="C29" s="265">
        <f>+F29+F30</f>
        <v>629040</v>
      </c>
      <c r="D29" s="68" t="s">
        <v>191</v>
      </c>
      <c r="E29" s="102" t="s">
        <v>73</v>
      </c>
      <c r="F29" s="71">
        <f>43920*12</f>
        <v>527040</v>
      </c>
      <c r="H29" s="87"/>
    </row>
    <row r="30" spans="1:9" ht="42.75" customHeight="1" x14ac:dyDescent="0.2">
      <c r="A30" s="246"/>
      <c r="B30" s="249"/>
      <c r="C30" s="260"/>
      <c r="D30" s="68" t="s">
        <v>192</v>
      </c>
      <c r="E30" s="102" t="s">
        <v>73</v>
      </c>
      <c r="F30" s="66">
        <f>500*17*12</f>
        <v>102000</v>
      </c>
      <c r="H30" s="87"/>
    </row>
    <row r="31" spans="1:9" ht="28.5" x14ac:dyDescent="0.2">
      <c r="A31" s="23" t="s">
        <v>29</v>
      </c>
      <c r="B31" s="68" t="s">
        <v>135</v>
      </c>
      <c r="C31" s="66">
        <f>SUM(F31:F35)</f>
        <v>2470000</v>
      </c>
      <c r="D31" s="68" t="s">
        <v>195</v>
      </c>
      <c r="E31" s="63" t="s">
        <v>210</v>
      </c>
      <c r="F31" s="66">
        <f>70000*12+10000</f>
        <v>850000</v>
      </c>
      <c r="H31" s="86"/>
      <c r="I31" s="86"/>
    </row>
    <row r="32" spans="1:9" ht="21" customHeight="1" x14ac:dyDescent="0.2">
      <c r="A32" s="23"/>
      <c r="B32" s="68"/>
      <c r="C32" s="66"/>
      <c r="D32" s="68" t="s">
        <v>212</v>
      </c>
      <c r="E32" s="63" t="s">
        <v>210</v>
      </c>
      <c r="F32" s="66">
        <v>350000</v>
      </c>
    </row>
    <row r="33" spans="1:14" ht="28.5" x14ac:dyDescent="0.2">
      <c r="A33" s="23"/>
      <c r="B33" s="68"/>
      <c r="C33" s="66"/>
      <c r="D33" s="68" t="s">
        <v>213</v>
      </c>
      <c r="E33" s="63" t="s">
        <v>210</v>
      </c>
      <c r="F33" s="66">
        <v>700000</v>
      </c>
    </row>
    <row r="34" spans="1:14" ht="28.5" x14ac:dyDescent="0.2">
      <c r="A34" s="23"/>
      <c r="B34" s="68"/>
      <c r="C34" s="66"/>
      <c r="D34" s="68" t="s">
        <v>194</v>
      </c>
      <c r="E34" s="63" t="s">
        <v>210</v>
      </c>
      <c r="F34" s="66">
        <v>375000</v>
      </c>
    </row>
    <row r="35" spans="1:14" ht="28.5" x14ac:dyDescent="0.2">
      <c r="A35" s="23"/>
      <c r="B35" s="68"/>
      <c r="C35" s="66"/>
      <c r="D35" s="68" t="s">
        <v>201</v>
      </c>
      <c r="E35" s="63" t="s">
        <v>65</v>
      </c>
      <c r="F35" s="66">
        <v>195000</v>
      </c>
    </row>
    <row r="36" spans="1:14" ht="28.5" x14ac:dyDescent="0.2">
      <c r="A36" s="23" t="s">
        <v>224</v>
      </c>
      <c r="B36" s="68" t="s">
        <v>225</v>
      </c>
      <c r="C36" s="66">
        <v>400000</v>
      </c>
      <c r="D36" s="68" t="s">
        <v>238</v>
      </c>
      <c r="E36" s="63" t="s">
        <v>210</v>
      </c>
      <c r="F36" s="66">
        <v>400000</v>
      </c>
      <c r="H36" s="136">
        <f>+C37+C41</f>
        <v>32646541.779999997</v>
      </c>
      <c r="I36" s="87">
        <f>+H36/12</f>
        <v>2720545.148333333</v>
      </c>
    </row>
    <row r="37" spans="1:14" ht="42.75" x14ac:dyDescent="0.2">
      <c r="A37" s="23" t="s">
        <v>30</v>
      </c>
      <c r="B37" s="68" t="s">
        <v>136</v>
      </c>
      <c r="C37" s="66">
        <f>+F37+F39+F38</f>
        <v>21878196.819999997</v>
      </c>
      <c r="D37" s="68" t="s">
        <v>368</v>
      </c>
      <c r="E37" s="101" t="s">
        <v>196</v>
      </c>
      <c r="F37" s="66">
        <v>4596384</v>
      </c>
      <c r="G37" s="87">
        <v>4213207.5</v>
      </c>
      <c r="H37" s="136">
        <f>+F37-G37</f>
        <v>383176.5</v>
      </c>
      <c r="J37" s="189">
        <f>+[1]RESUMEN!$AU$145</f>
        <v>4213207.9000000004</v>
      </c>
      <c r="K37" s="86">
        <f>+F37-J37</f>
        <v>383176.09999999963</v>
      </c>
    </row>
    <row r="38" spans="1:14" x14ac:dyDescent="0.2">
      <c r="A38" s="23"/>
      <c r="B38" s="68"/>
      <c r="C38" s="66"/>
      <c r="D38" s="68" t="s">
        <v>369</v>
      </c>
      <c r="E38" s="101"/>
      <c r="F38" s="66">
        <v>1969819.2000000002</v>
      </c>
      <c r="G38" s="87">
        <v>1805661.22</v>
      </c>
      <c r="H38" s="136">
        <f>+F38-G38</f>
        <v>164157.98000000021</v>
      </c>
      <c r="J38" s="189">
        <f>+[1]RESUMEN!$BG$145</f>
        <v>1805659.9</v>
      </c>
      <c r="K38" s="86">
        <f>+F38-J38</f>
        <v>164159.30000000028</v>
      </c>
    </row>
    <row r="39" spans="1:14" ht="28.5" x14ac:dyDescent="0.2">
      <c r="A39" s="23"/>
      <c r="B39" s="68"/>
      <c r="C39" s="66"/>
      <c r="D39" s="68" t="s">
        <v>364</v>
      </c>
      <c r="E39" s="102" t="s">
        <v>198</v>
      </c>
      <c r="F39" s="66">
        <v>15311993.619999999</v>
      </c>
      <c r="H39" s="87"/>
      <c r="J39" s="189">
        <f>+[1]RESUMEN!$S$145</f>
        <v>18345501.789999999</v>
      </c>
      <c r="K39" s="86">
        <f>+F39-J39</f>
        <v>-3033508.17</v>
      </c>
    </row>
    <row r="40" spans="1:14" ht="25.5" customHeight="1" x14ac:dyDescent="0.2">
      <c r="A40" s="23" t="s">
        <v>31</v>
      </c>
      <c r="B40" s="68" t="s">
        <v>137</v>
      </c>
      <c r="C40" s="66">
        <v>900000</v>
      </c>
      <c r="D40" s="68" t="s">
        <v>324</v>
      </c>
      <c r="E40" s="102" t="s">
        <v>239</v>
      </c>
      <c r="F40" s="66">
        <v>500000</v>
      </c>
      <c r="H40" s="87">
        <v>132000</v>
      </c>
      <c r="I40" s="86">
        <f>+C40-H40</f>
        <v>768000</v>
      </c>
    </row>
    <row r="41" spans="1:14" ht="25.5" customHeight="1" x14ac:dyDescent="0.2">
      <c r="A41" s="23" t="s">
        <v>32</v>
      </c>
      <c r="B41" s="68" t="s">
        <v>226</v>
      </c>
      <c r="C41" s="66">
        <v>10768344.960000001</v>
      </c>
      <c r="D41" s="68" t="s">
        <v>351</v>
      </c>
      <c r="E41" s="102"/>
      <c r="F41" s="66"/>
      <c r="G41" s="87">
        <v>9870942.2899999991</v>
      </c>
      <c r="H41" s="87">
        <f>+C41-G41</f>
        <v>897402.67000000179</v>
      </c>
      <c r="J41" s="189">
        <f>+[1]RESUMEN!$AF$145</f>
        <v>9870942.2899999991</v>
      </c>
    </row>
    <row r="42" spans="1:14" ht="28.5" x14ac:dyDescent="0.2">
      <c r="A42" s="23" t="s">
        <v>205</v>
      </c>
      <c r="B42" s="68" t="s">
        <v>206</v>
      </c>
      <c r="C42" s="63">
        <v>415000</v>
      </c>
      <c r="D42" s="68" t="s">
        <v>207</v>
      </c>
      <c r="E42" s="102" t="s">
        <v>73</v>
      </c>
      <c r="F42" s="66">
        <v>415000</v>
      </c>
    </row>
    <row r="43" spans="1:14" ht="30.75" customHeight="1" x14ac:dyDescent="0.2">
      <c r="A43" s="23" t="s">
        <v>33</v>
      </c>
      <c r="B43" s="68" t="s">
        <v>138</v>
      </c>
      <c r="C43" s="66">
        <f>(35078.4+19731.6)*24+100000</f>
        <v>1415440</v>
      </c>
      <c r="D43" s="110" t="s">
        <v>325</v>
      </c>
      <c r="E43" s="102" t="s">
        <v>163</v>
      </c>
      <c r="F43" s="66">
        <v>1415440</v>
      </c>
      <c r="G43" s="87">
        <f>109620*3</f>
        <v>328860</v>
      </c>
      <c r="H43" s="86">
        <f>+F43-G43</f>
        <v>1086580</v>
      </c>
      <c r="I43" s="87">
        <f>+H43/9</f>
        <v>120731.11111111111</v>
      </c>
      <c r="J43" s="87">
        <f>+J44*3</f>
        <v>283500</v>
      </c>
      <c r="K43" s="86">
        <f>+J43+M44</f>
        <v>1185030</v>
      </c>
      <c r="L43" s="87">
        <f>+K43*0.16</f>
        <v>189604.80000000002</v>
      </c>
      <c r="M43" s="86">
        <f>+K43+L43</f>
        <v>1374634.8</v>
      </c>
    </row>
    <row r="44" spans="1:14" ht="16.5" customHeight="1" x14ac:dyDescent="0.2">
      <c r="A44" s="83" t="s">
        <v>34</v>
      </c>
      <c r="B44" s="94" t="s">
        <v>139</v>
      </c>
      <c r="C44" s="71">
        <v>200000</v>
      </c>
      <c r="D44" s="94" t="s">
        <v>240</v>
      </c>
      <c r="E44" s="103" t="s">
        <v>241</v>
      </c>
      <c r="F44" s="71"/>
      <c r="G44" s="87">
        <f>+G43/3</f>
        <v>109620</v>
      </c>
      <c r="H44" s="87"/>
      <c r="J44" s="87">
        <v>94500</v>
      </c>
      <c r="K44" s="87">
        <f>+J44*0.06</f>
        <v>5670</v>
      </c>
      <c r="L44" s="86">
        <f>+J44+K44</f>
        <v>100170</v>
      </c>
      <c r="M44" s="87">
        <f>+L44*9</f>
        <v>901530</v>
      </c>
      <c r="N44" s="10">
        <v>750</v>
      </c>
    </row>
    <row r="45" spans="1:14" ht="21.75" customHeight="1" x14ac:dyDescent="0.2">
      <c r="A45" s="83" t="s">
        <v>35</v>
      </c>
      <c r="B45" s="94" t="s">
        <v>140</v>
      </c>
      <c r="C45" s="71">
        <v>200000</v>
      </c>
      <c r="D45" s="94" t="s">
        <v>242</v>
      </c>
      <c r="E45" s="103" t="s">
        <v>65</v>
      </c>
      <c r="F45" s="71">
        <v>200000</v>
      </c>
      <c r="G45" s="87">
        <f>+H45/9</f>
        <v>132016</v>
      </c>
      <c r="H45" s="87">
        <f>132016*9</f>
        <v>1188144</v>
      </c>
      <c r="I45" s="86">
        <f>+H43-H45</f>
        <v>-101564</v>
      </c>
      <c r="J45" s="87">
        <v>113500</v>
      </c>
      <c r="L45" s="87">
        <f>+L44*0.16</f>
        <v>16027.2</v>
      </c>
      <c r="N45" s="10">
        <v>0.16</v>
      </c>
    </row>
    <row r="46" spans="1:14" ht="42.75" x14ac:dyDescent="0.2">
      <c r="A46" s="83" t="s">
        <v>36</v>
      </c>
      <c r="B46" s="94" t="s">
        <v>141</v>
      </c>
      <c r="C46" s="71">
        <f>12500000-217200</f>
        <v>12282800</v>
      </c>
      <c r="D46" s="94" t="s">
        <v>329</v>
      </c>
      <c r="E46" s="102" t="s">
        <v>163</v>
      </c>
      <c r="F46" s="71">
        <v>12500000</v>
      </c>
      <c r="G46" s="87">
        <f>+G45-G44</f>
        <v>22396</v>
      </c>
      <c r="H46" s="87">
        <v>1514700</v>
      </c>
      <c r="I46" s="194">
        <f>+G46/G44</f>
        <v>0.20430578361612844</v>
      </c>
      <c r="J46" s="86">
        <f>+J45-J44</f>
        <v>19000</v>
      </c>
      <c r="K46" s="86">
        <f>+J46/J44</f>
        <v>0.20105820105820105</v>
      </c>
      <c r="L46" s="86">
        <f>+L44+L45</f>
        <v>116197.2</v>
      </c>
      <c r="N46" s="10">
        <f>+N44*N45</f>
        <v>120</v>
      </c>
    </row>
    <row r="47" spans="1:14" ht="57" x14ac:dyDescent="0.2">
      <c r="A47" s="83" t="s">
        <v>37</v>
      </c>
      <c r="B47" s="94" t="s">
        <v>142</v>
      </c>
      <c r="C47" s="71">
        <f>25984+105598.51+50000</f>
        <v>181582.51</v>
      </c>
      <c r="D47" s="94" t="s">
        <v>243</v>
      </c>
      <c r="E47" s="138" t="s">
        <v>244</v>
      </c>
      <c r="F47" s="71">
        <v>181582.51</v>
      </c>
      <c r="H47" s="87">
        <f>+H46*16%</f>
        <v>242352</v>
      </c>
      <c r="L47" s="87">
        <f>+L46*9</f>
        <v>1045774.7999999999</v>
      </c>
      <c r="N47" s="10">
        <f>+N44+N46</f>
        <v>870</v>
      </c>
    </row>
    <row r="48" spans="1:14" ht="42.75" x14ac:dyDescent="0.2">
      <c r="A48" s="83" t="s">
        <v>38</v>
      </c>
      <c r="B48" s="94" t="s">
        <v>143</v>
      </c>
      <c r="C48" s="71">
        <f>54118+50233.53</f>
        <v>104351.53</v>
      </c>
      <c r="D48" s="139" t="s">
        <v>245</v>
      </c>
      <c r="E48" s="138" t="s">
        <v>244</v>
      </c>
      <c r="F48" s="66">
        <v>104351.53</v>
      </c>
      <c r="H48" s="87">
        <f>+H46+H47</f>
        <v>1757052</v>
      </c>
    </row>
    <row r="49" spans="1:9" ht="28.5" x14ac:dyDescent="0.2">
      <c r="A49" s="83" t="s">
        <v>39</v>
      </c>
      <c r="B49" s="94" t="s">
        <v>144</v>
      </c>
      <c r="C49" s="71">
        <f>318895+165809.77+300000</f>
        <v>784704.77</v>
      </c>
      <c r="D49" s="131" t="s">
        <v>246</v>
      </c>
      <c r="E49" s="63" t="s">
        <v>210</v>
      </c>
      <c r="F49" s="66">
        <v>784704.77</v>
      </c>
      <c r="H49" s="86">
        <f>+H48-H43</f>
        <v>670472</v>
      </c>
    </row>
    <row r="50" spans="1:9" ht="28.5" x14ac:dyDescent="0.2">
      <c r="A50" s="83" t="s">
        <v>40</v>
      </c>
      <c r="B50" s="94" t="s">
        <v>145</v>
      </c>
      <c r="C50" s="71">
        <v>1300000</v>
      </c>
      <c r="D50" s="140" t="s">
        <v>247</v>
      </c>
      <c r="E50" s="102" t="s">
        <v>163</v>
      </c>
      <c r="F50" s="66">
        <v>1300000</v>
      </c>
      <c r="G50" s="87">
        <v>1100</v>
      </c>
      <c r="H50" s="87">
        <v>500000</v>
      </c>
    </row>
    <row r="51" spans="1:9" ht="57" x14ac:dyDescent="0.2">
      <c r="A51" s="83" t="s">
        <v>41</v>
      </c>
      <c r="B51" s="94" t="s">
        <v>146</v>
      </c>
      <c r="C51" s="71">
        <v>9270000</v>
      </c>
      <c r="D51" s="175" t="s">
        <v>326</v>
      </c>
      <c r="E51" s="101" t="s">
        <v>248</v>
      </c>
      <c r="F51" s="66"/>
      <c r="G51" s="87">
        <v>180</v>
      </c>
      <c r="H51" s="87">
        <v>190000</v>
      </c>
      <c r="I51" s="86">
        <f>+H50+H51</f>
        <v>690000</v>
      </c>
    </row>
    <row r="52" spans="1:9" ht="42.75" x14ac:dyDescent="0.2">
      <c r="A52" s="83" t="s">
        <v>42</v>
      </c>
      <c r="B52" s="94" t="s">
        <v>147</v>
      </c>
      <c r="C52" s="71">
        <v>1000000</v>
      </c>
      <c r="D52" s="175" t="s">
        <v>326</v>
      </c>
      <c r="E52" s="63"/>
      <c r="F52" s="66"/>
      <c r="G52" s="87">
        <f>+G50+G51</f>
        <v>1280</v>
      </c>
    </row>
    <row r="53" spans="1:9" x14ac:dyDescent="0.2">
      <c r="A53" s="83" t="s">
        <v>331</v>
      </c>
      <c r="B53" s="94" t="s">
        <v>334</v>
      </c>
      <c r="C53" s="71">
        <v>100000</v>
      </c>
      <c r="D53" s="175" t="s">
        <v>326</v>
      </c>
      <c r="E53" s="63"/>
      <c r="F53" s="66"/>
    </row>
    <row r="54" spans="1:9" ht="28.5" x14ac:dyDescent="0.2">
      <c r="A54" s="83" t="s">
        <v>332</v>
      </c>
      <c r="B54" s="94" t="s">
        <v>335</v>
      </c>
      <c r="C54" s="71">
        <v>530000</v>
      </c>
      <c r="D54" s="175" t="s">
        <v>326</v>
      </c>
      <c r="E54" s="63"/>
      <c r="F54" s="66"/>
    </row>
    <row r="55" spans="1:9" ht="28.5" x14ac:dyDescent="0.2">
      <c r="A55" s="83" t="s">
        <v>333</v>
      </c>
      <c r="B55" s="94" t="s">
        <v>336</v>
      </c>
      <c r="C55" s="71">
        <v>1000000</v>
      </c>
      <c r="D55" s="175" t="s">
        <v>326</v>
      </c>
      <c r="E55" s="63"/>
      <c r="F55" s="66"/>
    </row>
    <row r="56" spans="1:9" ht="24.75" customHeight="1" x14ac:dyDescent="0.2">
      <c r="A56" s="83" t="s">
        <v>43</v>
      </c>
      <c r="B56" s="94" t="s">
        <v>148</v>
      </c>
      <c r="C56" s="71">
        <f>100000+200000</f>
        <v>300000</v>
      </c>
      <c r="D56" s="175" t="s">
        <v>326</v>
      </c>
      <c r="E56" s="63"/>
      <c r="F56" s="66"/>
    </row>
    <row r="57" spans="1:9" s="75" customFormat="1" ht="21" customHeight="1" x14ac:dyDescent="0.2">
      <c r="A57" s="83" t="s">
        <v>363</v>
      </c>
      <c r="B57" s="94" t="s">
        <v>149</v>
      </c>
      <c r="C57" s="71">
        <f>4800+83682.51+200000</f>
        <v>288482.51</v>
      </c>
      <c r="D57" s="83"/>
      <c r="E57" s="103" t="s">
        <v>241</v>
      </c>
      <c r="F57" s="71"/>
      <c r="G57" s="177"/>
    </row>
    <row r="58" spans="1:9" s="75" customFormat="1" ht="18.75" customHeight="1" x14ac:dyDescent="0.2">
      <c r="A58" s="83" t="s">
        <v>45</v>
      </c>
      <c r="B58" s="94" t="s">
        <v>150</v>
      </c>
      <c r="C58" s="71">
        <v>467083</v>
      </c>
      <c r="D58" s="83"/>
      <c r="E58" s="103" t="s">
        <v>241</v>
      </c>
      <c r="F58" s="71"/>
      <c r="G58" s="177"/>
    </row>
    <row r="59" spans="1:9" s="75" customFormat="1" ht="55.5" customHeight="1" x14ac:dyDescent="0.2">
      <c r="A59" s="83" t="s">
        <v>46</v>
      </c>
      <c r="B59" s="94" t="s">
        <v>151</v>
      </c>
      <c r="C59" s="71">
        <v>1300000</v>
      </c>
      <c r="D59" s="94" t="s">
        <v>249</v>
      </c>
      <c r="E59" s="138" t="s">
        <v>244</v>
      </c>
      <c r="F59" s="71"/>
      <c r="G59" s="177"/>
      <c r="I59" s="75">
        <v>18200</v>
      </c>
    </row>
    <row r="60" spans="1:9" s="75" customFormat="1" ht="42.75" x14ac:dyDescent="0.2">
      <c r="A60" s="83" t="s">
        <v>47</v>
      </c>
      <c r="B60" s="94" t="s">
        <v>152</v>
      </c>
      <c r="C60" s="71">
        <v>1000000</v>
      </c>
      <c r="D60" s="94" t="s">
        <v>327</v>
      </c>
      <c r="E60" s="138" t="s">
        <v>244</v>
      </c>
      <c r="F60" s="71"/>
      <c r="G60" s="177"/>
      <c r="I60" s="75">
        <f>+I59*41</f>
        <v>746200</v>
      </c>
    </row>
    <row r="61" spans="1:9" s="75" customFormat="1" ht="28.5" x14ac:dyDescent="0.2">
      <c r="A61" s="83" t="s">
        <v>202</v>
      </c>
      <c r="B61" s="94" t="s">
        <v>203</v>
      </c>
      <c r="C61" s="71">
        <f>74700*12*41+4000000+217200</f>
        <v>40969600</v>
      </c>
      <c r="D61" s="176"/>
      <c r="E61" s="103" t="s">
        <v>241</v>
      </c>
      <c r="F61" s="71"/>
      <c r="G61" s="177">
        <f>+C61/41</f>
        <v>999258.53658536589</v>
      </c>
      <c r="H61" s="177">
        <f>+G61/12</f>
        <v>83271.544715447162</v>
      </c>
      <c r="I61" s="75">
        <f>+I60*12</f>
        <v>8954400</v>
      </c>
    </row>
    <row r="62" spans="1:9" s="75" customFormat="1" ht="28.5" x14ac:dyDescent="0.2">
      <c r="A62" s="83" t="s">
        <v>48</v>
      </c>
      <c r="B62" s="94" t="s">
        <v>153</v>
      </c>
      <c r="C62" s="71">
        <f>3500000-350000+188.07</f>
        <v>3150188.07</v>
      </c>
      <c r="D62" s="129"/>
      <c r="E62" s="103" t="s">
        <v>241</v>
      </c>
      <c r="F62" s="71"/>
      <c r="G62" s="177"/>
    </row>
    <row r="63" spans="1:9" s="75" customFormat="1" ht="15" x14ac:dyDescent="0.25">
      <c r="A63" s="83"/>
      <c r="B63" s="180" t="s">
        <v>330</v>
      </c>
      <c r="C63" s="85">
        <f>SUM(C5:C62)</f>
        <v>119280445.91</v>
      </c>
      <c r="D63" s="83"/>
      <c r="E63" s="104"/>
      <c r="F63" s="85"/>
      <c r="G63" s="177"/>
    </row>
    <row r="64" spans="1:9" x14ac:dyDescent="0.2">
      <c r="D64" s="123"/>
    </row>
    <row r="65" spans="2:6" x14ac:dyDescent="0.2">
      <c r="C65" s="86"/>
      <c r="D65" s="123">
        <v>18100</v>
      </c>
    </row>
    <row r="66" spans="2:6" x14ac:dyDescent="0.2">
      <c r="B66" s="95"/>
      <c r="D66" s="123">
        <f>+D65*12</f>
        <v>217200</v>
      </c>
    </row>
    <row r="67" spans="2:6" x14ac:dyDescent="0.2">
      <c r="B67" s="96"/>
      <c r="C67" s="10">
        <f>+C61/12</f>
        <v>3414133.3333333335</v>
      </c>
      <c r="D67" s="123"/>
    </row>
    <row r="68" spans="2:6" x14ac:dyDescent="0.2">
      <c r="C68" s="87">
        <f>+C67/41</f>
        <v>83271.544715447162</v>
      </c>
      <c r="D68" s="123"/>
      <c r="E68" s="124"/>
    </row>
    <row r="69" spans="2:6" x14ac:dyDescent="0.2">
      <c r="C69" s="87"/>
      <c r="F69" s="87"/>
    </row>
    <row r="71" spans="2:6" x14ac:dyDescent="0.2">
      <c r="C71" s="87">
        <v>119280445.91</v>
      </c>
    </row>
  </sheetData>
  <mergeCells count="22">
    <mergeCell ref="A20:A21"/>
    <mergeCell ref="B20:B21"/>
    <mergeCell ref="C20:C21"/>
    <mergeCell ref="A29:A30"/>
    <mergeCell ref="B29:B30"/>
    <mergeCell ref="C29:C30"/>
    <mergeCell ref="A8:A9"/>
    <mergeCell ref="B8:B9"/>
    <mergeCell ref="C8:C9"/>
    <mergeCell ref="A18:A19"/>
    <mergeCell ref="B18:B19"/>
    <mergeCell ref="C18:C19"/>
    <mergeCell ref="F4:F5"/>
    <mergeCell ref="A6:A7"/>
    <mergeCell ref="B6:B7"/>
    <mergeCell ref="C6:C7"/>
    <mergeCell ref="E6:E7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workbookViewId="0">
      <selection activeCell="I7" sqref="I7"/>
    </sheetView>
  </sheetViews>
  <sheetFormatPr baseColWidth="10" defaultRowHeight="15" x14ac:dyDescent="0.25"/>
  <cols>
    <col min="2" max="2" width="35.85546875" customWidth="1"/>
    <col min="3" max="3" width="22.28515625" customWidth="1"/>
  </cols>
  <sheetData>
    <row r="1" spans="1:5" ht="30" customHeight="1" x14ac:dyDescent="0.25">
      <c r="A1" s="229" t="s">
        <v>303</v>
      </c>
      <c r="B1" s="229"/>
      <c r="C1" s="14"/>
      <c r="D1" s="14"/>
      <c r="E1" s="14"/>
    </row>
    <row r="2" spans="1:5" ht="15" customHeight="1" x14ac:dyDescent="0.25">
      <c r="A2" s="229" t="s">
        <v>296</v>
      </c>
      <c r="B2" s="229"/>
      <c r="C2" s="229"/>
      <c r="D2" s="162"/>
      <c r="E2" s="162"/>
    </row>
    <row r="4" spans="1:5" x14ac:dyDescent="0.25">
      <c r="A4" s="277" t="s">
        <v>116</v>
      </c>
      <c r="B4" s="277" t="s">
        <v>117</v>
      </c>
      <c r="C4" s="242" t="s">
        <v>115</v>
      </c>
    </row>
    <row r="5" spans="1:5" x14ac:dyDescent="0.25">
      <c r="A5" s="278"/>
      <c r="B5" s="278"/>
      <c r="C5" s="243"/>
    </row>
    <row r="6" spans="1:5" x14ac:dyDescent="0.25">
      <c r="A6" s="165" t="s">
        <v>304</v>
      </c>
      <c r="B6" s="65" t="s">
        <v>305</v>
      </c>
      <c r="C6" s="167">
        <v>1800000</v>
      </c>
    </row>
    <row r="7" spans="1:5" x14ac:dyDescent="0.25">
      <c r="A7" s="24"/>
      <c r="B7" s="65"/>
      <c r="C7" s="163"/>
    </row>
    <row r="8" spans="1:5" x14ac:dyDescent="0.25">
      <c r="C8" s="168">
        <f>SUM(C6:C7)</f>
        <v>1800000</v>
      </c>
    </row>
  </sheetData>
  <mergeCells count="5">
    <mergeCell ref="A4:A5"/>
    <mergeCell ref="B4:B5"/>
    <mergeCell ref="C4:C5"/>
    <mergeCell ref="A1:B1"/>
    <mergeCell ref="A2:C2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3"/>
  <sheetViews>
    <sheetView workbookViewId="0">
      <selection activeCell="A6" sqref="A6:F18"/>
    </sheetView>
  </sheetViews>
  <sheetFormatPr baseColWidth="10" defaultRowHeight="15" x14ac:dyDescent="0.25"/>
  <cols>
    <col min="1" max="1" width="8.85546875" customWidth="1"/>
    <col min="2" max="2" width="31.85546875" customWidth="1"/>
    <col min="3" max="3" width="16.140625" customWidth="1"/>
    <col min="4" max="4" width="30.5703125" customWidth="1"/>
    <col min="5" max="5" width="17.85546875" customWidth="1"/>
    <col min="6" max="6" width="15.5703125" customWidth="1"/>
    <col min="7" max="7" width="15" style="87" bestFit="1" customWidth="1"/>
    <col min="8" max="8" width="13.140625" bestFit="1" customWidth="1"/>
  </cols>
  <sheetData>
    <row r="1" spans="1:8" x14ac:dyDescent="0.25">
      <c r="B1" s="44" t="s">
        <v>302</v>
      </c>
      <c r="C1" s="14"/>
      <c r="D1" s="14"/>
      <c r="E1" s="14"/>
      <c r="F1" s="14"/>
    </row>
    <row r="2" spans="1:8" x14ac:dyDescent="0.25">
      <c r="B2" s="229" t="s">
        <v>296</v>
      </c>
      <c r="C2" s="229"/>
      <c r="D2" s="229"/>
      <c r="E2" s="229"/>
      <c r="F2" s="229"/>
    </row>
    <row r="4" spans="1:8" x14ac:dyDescent="0.25">
      <c r="A4" s="277" t="s">
        <v>116</v>
      </c>
      <c r="B4" s="277" t="s">
        <v>298</v>
      </c>
      <c r="C4" s="242" t="s">
        <v>115</v>
      </c>
      <c r="D4" s="279" t="s">
        <v>117</v>
      </c>
      <c r="E4" s="270" t="s">
        <v>118</v>
      </c>
      <c r="F4" s="258" t="s">
        <v>56</v>
      </c>
    </row>
    <row r="5" spans="1:8" x14ac:dyDescent="0.25">
      <c r="A5" s="278"/>
      <c r="B5" s="278"/>
      <c r="C5" s="243"/>
      <c r="D5" s="269"/>
      <c r="E5" s="270"/>
      <c r="F5" s="242"/>
    </row>
    <row r="6" spans="1:8" ht="29.25" x14ac:dyDescent="0.25">
      <c r="A6" s="24" t="s">
        <v>250</v>
      </c>
      <c r="B6" s="65" t="s">
        <v>251</v>
      </c>
      <c r="C6" s="163">
        <f>SUM(F6:F12)</f>
        <v>1623205</v>
      </c>
      <c r="D6" s="65" t="s">
        <v>252</v>
      </c>
      <c r="E6" s="261" t="s">
        <v>267</v>
      </c>
      <c r="F6" s="188">
        <f>12000*41</f>
        <v>492000</v>
      </c>
    </row>
    <row r="7" spans="1:8" x14ac:dyDescent="0.25">
      <c r="A7" s="24"/>
      <c r="B7" s="24"/>
      <c r="C7" s="24"/>
      <c r="D7" s="65" t="s">
        <v>253</v>
      </c>
      <c r="E7" s="262"/>
      <c r="F7" s="188">
        <f>10000*41</f>
        <v>410000</v>
      </c>
    </row>
    <row r="8" spans="1:8" ht="29.25" x14ac:dyDescent="0.25">
      <c r="A8" s="24"/>
      <c r="B8" s="24"/>
      <c r="C8" s="24"/>
      <c r="D8" s="65" t="s">
        <v>254</v>
      </c>
      <c r="E8" s="262"/>
      <c r="F8" s="160">
        <v>600000</v>
      </c>
      <c r="H8" s="121"/>
    </row>
    <row r="9" spans="1:8" x14ac:dyDescent="0.25">
      <c r="A9" s="24"/>
      <c r="B9" s="24"/>
      <c r="C9" s="24"/>
      <c r="D9" s="65" t="s">
        <v>255</v>
      </c>
      <c r="E9" s="262"/>
      <c r="F9" s="160">
        <v>26000</v>
      </c>
    </row>
    <row r="10" spans="1:8" x14ac:dyDescent="0.25">
      <c r="A10" s="24"/>
      <c r="B10" s="24"/>
      <c r="C10" s="24"/>
      <c r="D10" s="65" t="s">
        <v>256</v>
      </c>
      <c r="E10" s="262"/>
      <c r="F10" s="188">
        <v>31000</v>
      </c>
      <c r="G10" s="87">
        <f>+F6+F7+F8+F9+F10+F11</f>
        <v>1578205</v>
      </c>
      <c r="H10" s="1">
        <f>+G10/1.16</f>
        <v>1360521.551724138</v>
      </c>
    </row>
    <row r="11" spans="1:8" ht="29.25" x14ac:dyDescent="0.25">
      <c r="A11" s="24"/>
      <c r="B11" s="24"/>
      <c r="C11" s="24"/>
      <c r="D11" s="65" t="s">
        <v>257</v>
      </c>
      <c r="E11" s="262"/>
      <c r="F11" s="160">
        <f>20000-795</f>
        <v>19205</v>
      </c>
      <c r="H11" s="1">
        <f>+H10*0.16</f>
        <v>217683.44827586209</v>
      </c>
    </row>
    <row r="12" spans="1:8" ht="43.5" x14ac:dyDescent="0.25">
      <c r="A12" s="24"/>
      <c r="B12" s="24"/>
      <c r="C12" s="24"/>
      <c r="D12" s="65" t="s">
        <v>307</v>
      </c>
      <c r="E12" s="262"/>
      <c r="F12" s="160">
        <v>45000</v>
      </c>
      <c r="H12" s="121">
        <f>+H10+H11</f>
        <v>1578205</v>
      </c>
    </row>
    <row r="13" spans="1:8" x14ac:dyDescent="0.25">
      <c r="A13" s="24" t="s">
        <v>259</v>
      </c>
      <c r="B13" s="24" t="s">
        <v>260</v>
      </c>
      <c r="C13" s="163">
        <f>SUM(F13:F16)</f>
        <v>125000</v>
      </c>
      <c r="D13" s="84" t="s">
        <v>366</v>
      </c>
      <c r="E13" s="261" t="s">
        <v>64</v>
      </c>
      <c r="F13" s="160">
        <v>20000</v>
      </c>
    </row>
    <row r="14" spans="1:8" x14ac:dyDescent="0.25">
      <c r="A14" s="24"/>
      <c r="B14" s="24"/>
      <c r="C14" s="24"/>
      <c r="D14" s="84" t="s">
        <v>367</v>
      </c>
      <c r="E14" s="262"/>
      <c r="F14" s="160">
        <v>11000</v>
      </c>
      <c r="G14" s="87">
        <v>18000</v>
      </c>
      <c r="H14" s="121">
        <f t="shared" ref="H14:H19" si="0">+F14-G14</f>
        <v>-7000</v>
      </c>
    </row>
    <row r="15" spans="1:8" x14ac:dyDescent="0.25">
      <c r="A15" s="24"/>
      <c r="B15" s="24"/>
      <c r="C15" s="24"/>
      <c r="D15" s="193" t="s">
        <v>258</v>
      </c>
      <c r="E15" s="262"/>
      <c r="F15" s="188">
        <v>50000</v>
      </c>
      <c r="G15" s="87">
        <v>47125</v>
      </c>
      <c r="H15" s="121">
        <f t="shared" si="0"/>
        <v>2875</v>
      </c>
    </row>
    <row r="16" spans="1:8" x14ac:dyDescent="0.25">
      <c r="A16" s="24"/>
      <c r="B16" s="24"/>
      <c r="C16" s="24"/>
      <c r="D16" s="164" t="s">
        <v>268</v>
      </c>
      <c r="E16" s="263"/>
      <c r="F16" s="166">
        <v>44000</v>
      </c>
      <c r="G16" s="87">
        <v>29050</v>
      </c>
      <c r="H16" s="121">
        <f t="shared" si="0"/>
        <v>14950</v>
      </c>
    </row>
    <row r="17" spans="1:8" x14ac:dyDescent="0.25">
      <c r="A17" s="24"/>
      <c r="B17" s="24"/>
      <c r="C17" s="24"/>
      <c r="D17" s="24"/>
      <c r="E17" s="24"/>
      <c r="F17" s="160"/>
      <c r="G17" s="87">
        <v>51620</v>
      </c>
      <c r="H17" s="121">
        <f t="shared" si="0"/>
        <v>-51620</v>
      </c>
    </row>
    <row r="18" spans="1:8" x14ac:dyDescent="0.25">
      <c r="A18" s="24"/>
      <c r="B18" s="24"/>
      <c r="C18" s="24"/>
      <c r="D18" s="24"/>
      <c r="E18" s="24"/>
      <c r="F18" s="24"/>
      <c r="G18" s="87">
        <v>152742.09</v>
      </c>
      <c r="H18" s="121">
        <f t="shared" si="0"/>
        <v>-152742.09</v>
      </c>
    </row>
    <row r="19" spans="1:8" x14ac:dyDescent="0.25">
      <c r="B19" t="s">
        <v>328</v>
      </c>
      <c r="C19" s="161">
        <f>SUM(C6:C16)</f>
        <v>1748205</v>
      </c>
      <c r="E19" s="10"/>
      <c r="F19" s="86">
        <f>SUM(F13:F18)</f>
        <v>125000</v>
      </c>
      <c r="G19" s="87">
        <f>SUM(G14:G18)</f>
        <v>298537.08999999997</v>
      </c>
      <c r="H19" s="121">
        <f t="shared" si="0"/>
        <v>-173537.08999999997</v>
      </c>
    </row>
    <row r="20" spans="1:8" x14ac:dyDescent="0.25">
      <c r="E20" s="10"/>
      <c r="F20" s="86"/>
    </row>
    <row r="21" spans="1:8" x14ac:dyDescent="0.25">
      <c r="E21" s="10"/>
      <c r="F21" s="86"/>
    </row>
    <row r="22" spans="1:8" x14ac:dyDescent="0.25">
      <c r="C22" s="1"/>
      <c r="F22" s="159"/>
    </row>
    <row r="23" spans="1:8" x14ac:dyDescent="0.25">
      <c r="C23" s="121"/>
    </row>
  </sheetData>
  <mergeCells count="9">
    <mergeCell ref="E13:E16"/>
    <mergeCell ref="B2:F2"/>
    <mergeCell ref="E6:E1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14</vt:i4>
      </vt:variant>
    </vt:vector>
  </HeadingPairs>
  <TitlesOfParts>
    <vt:vector size="26" baseType="lpstr">
      <vt:lpstr>resumen</vt:lpstr>
      <vt:lpstr>1</vt:lpstr>
      <vt:lpstr>2000</vt:lpstr>
      <vt:lpstr>3000</vt:lpstr>
      <vt:lpstr>5000</vt:lpstr>
      <vt:lpstr>2</vt:lpstr>
      <vt:lpstr>3</vt:lpstr>
      <vt:lpstr>4</vt:lpstr>
      <vt:lpstr>5</vt:lpstr>
      <vt:lpstr>PAA 1A VERSION </vt:lpstr>
      <vt:lpstr>PAA 2019 actualizado</vt:lpstr>
      <vt:lpstr>Comprobación</vt:lpstr>
      <vt:lpstr>'1'!Área_de_impresión</vt:lpstr>
      <vt:lpstr>'2'!Área_de_impresión</vt:lpstr>
      <vt:lpstr>'3'!Área_de_impresión</vt:lpstr>
      <vt:lpstr>'5'!Área_de_impresión</vt:lpstr>
      <vt:lpstr>Comprobación!Área_de_impresión</vt:lpstr>
      <vt:lpstr>'PAA 1A VERSION '!Área_de_impresión</vt:lpstr>
      <vt:lpstr>'PAA 2019 actualizado'!Área_de_impresión</vt:lpstr>
      <vt:lpstr>resumen!Área_de_impresión</vt:lpstr>
      <vt:lpstr>'2'!Títulos_a_imprimir</vt:lpstr>
      <vt:lpstr>'2000'!Títulos_a_imprimir</vt:lpstr>
      <vt:lpstr>'3'!Títulos_a_imprimir</vt:lpstr>
      <vt:lpstr>'5'!Títulos_a_imprimir</vt:lpstr>
      <vt:lpstr>'PAA 1A VERSION '!Títulos_a_imprimir</vt:lpstr>
      <vt:lpstr>'PAA 2019 actualizado'!Títulos_a_imprimir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Congreso</dc:creator>
  <cp:lastModifiedBy>admin</cp:lastModifiedBy>
  <cp:lastPrinted>2020-01-13T21:12:39Z</cp:lastPrinted>
  <dcterms:created xsi:type="dcterms:W3CDTF">2018-12-10T17:38:51Z</dcterms:created>
  <dcterms:modified xsi:type="dcterms:W3CDTF">2020-01-17T18:52:37Z</dcterms:modified>
</cp:coreProperties>
</file>